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ie_Juin_2026" sheetId="1" state="visible" r:id="rId1"/>
    <sheet xmlns:r="http://schemas.openxmlformats.org/officeDocument/2006/relationships" name="Tableau_de_bord" sheetId="2" state="visible" r:id="rId2"/>
    <sheet xmlns:r="http://schemas.openxmlformats.org/officeDocument/2006/relationships" name="Paramètres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JJ/MM/AAAA"/>
    <numFmt numFmtId="166" formatCode="#\ ##0,00\ &quot;€&quot;"/>
    <numFmt numFmtId="167" formatCode="0,00"/>
    <numFmt numFmtId="168" formatCode="0,00 %"/>
    <numFmt numFmtId="169" formatCode="0,00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16A34A"/>
      <sz val="11"/>
    </font>
    <font>
      <name val="Calibri"/>
      <b val="1"/>
      <color rgb="00DC2626"/>
      <sz val="11"/>
    </font>
    <font>
      <name val="Calibri"/>
      <b val="1"/>
      <color rgb="00FFFFFF"/>
      <sz val="12"/>
    </font>
    <font>
      <name val="Calibri"/>
      <i val="1"/>
      <color rgb="006B7280"/>
      <sz val="9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FFBEB"/>
      </patternFill>
    </fill>
    <fill>
      <patternFill patternType="solid">
        <fgColor rgb="00FDF0F3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7" fontId="3" fillId="3" borderId="1" applyAlignment="1" pivotButton="0" quotePrefix="0" xfId="0">
      <alignment horizontal="center" vertical="center" wrapText="1"/>
    </xf>
    <xf numFmtId="168" fontId="3" fillId="3" borderId="1" applyAlignment="1" pivotButton="0" quotePrefix="0" xfId="0">
      <alignment horizontal="center" vertical="center" wrapText="1"/>
    </xf>
    <xf numFmtId="168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right" vertical="center"/>
    </xf>
    <xf numFmtId="168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166" fontId="2" fillId="6" borderId="1" applyAlignment="1" pivotButton="0" quotePrefix="0" xfId="0">
      <alignment horizontal="right" vertical="center"/>
    </xf>
    <xf numFmtId="167" fontId="2" fillId="6" borderId="1" applyAlignment="1" pivotButton="0" quotePrefix="0" xfId="0">
      <alignment horizontal="right" vertical="center"/>
    </xf>
    <xf numFmtId="0" fontId="4" fillId="0" borderId="0" pivotButton="0" quotePrefix="0" xfId="0"/>
    <xf numFmtId="166" fontId="5" fillId="0" borderId="0" pivotButton="0" quotePrefix="0" xfId="0"/>
    <xf numFmtId="0" fontId="6" fillId="0" borderId="0" applyAlignment="1" pivotButton="0" quotePrefix="0" xfId="0">
      <alignment horizontal="center" vertical="center" wrapText="1"/>
    </xf>
    <xf numFmtId="0" fontId="7" fillId="7" borderId="0" pivotButton="0" quotePrefix="0" xfId="0"/>
    <xf numFmtId="0" fontId="4" fillId="4" borderId="1" pivotButton="0" quotePrefix="0" xfId="0"/>
    <xf numFmtId="1" fontId="5" fillId="4" borderId="1" applyAlignment="1" pivotButton="0" quotePrefix="0" xfId="0">
      <alignment horizontal="right" vertical="center"/>
    </xf>
    <xf numFmtId="0" fontId="4" fillId="5" borderId="1" pivotButton="0" quotePrefix="0" xfId="0"/>
    <xf numFmtId="166" fontId="5" fillId="5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1" fontId="6" fillId="5" borderId="1" applyAlignment="1" pivotButton="0" quotePrefix="0" xfId="0">
      <alignment horizontal="right" vertical="center"/>
    </xf>
    <xf numFmtId="168" fontId="5" fillId="4" borderId="1" applyAlignment="1" pivotButton="0" quotePrefix="0" xfId="0">
      <alignment horizontal="right" vertical="center"/>
    </xf>
    <xf numFmtId="0" fontId="2" fillId="2" borderId="0" pivotButton="0" quotePrefix="0" xfId="0"/>
    <xf numFmtId="0" fontId="0" fillId="0" borderId="1" pivotButton="0" quotePrefix="0" xfId="0"/>
    <xf numFmtId="166" fontId="0" fillId="0" borderId="1" applyAlignment="1" pivotButton="0" quotePrefix="0" xfId="0">
      <alignment horizontal="right" vertical="center"/>
    </xf>
    <xf numFmtId="0" fontId="4" fillId="0" borderId="1" pivotButton="0" quotePrefix="0" xfId="0"/>
    <xf numFmtId="0" fontId="0" fillId="3" borderId="1" applyAlignment="1" pivotButton="0" quotePrefix="0" xfId="0">
      <alignment horizontal="left" vertical="center" wrapText="1"/>
    </xf>
    <xf numFmtId="167" fontId="0" fillId="3" borderId="1" applyAlignment="1" pivotButton="0" quotePrefix="0" xfId="0">
      <alignment horizontal="right" vertical="center"/>
    </xf>
    <xf numFmtId="168" fontId="0" fillId="3" borderId="1" applyAlignment="1" pivotButton="0" quotePrefix="0" xfId="0">
      <alignment horizontal="right" vertical="center"/>
    </xf>
    <xf numFmtId="0" fontId="7" fillId="7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3" borderId="1" pivotButton="0" quotePrefix="0" xfId="0"/>
    <xf numFmtId="0" fontId="6" fillId="0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7" fillId="7" borderId="0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 total employeur par salarié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'Paie_Juin_2026'!AA2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'Paie_Juin_2026'!$C$3:$C$11</f>
            </numRef>
          </cat>
          <val>
            <numRef>
              <f>'Paie_Juin_2026'!$AA$3:$AA$11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coût total</a:t>
            </a:r>
          </a:p>
        </rich>
      </tx>
    </title>
    <plotArea>
      <doughnutChart>
        <varyColors val="1"/>
        <ser>
          <idx val="0"/>
          <order val="0"/>
          <tx>
            <strRef>
              <f>'Tableau_de_bord'!B13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'Tableau_de_bord'!$A$14:$A$16</f>
            </numRef>
          </cat>
          <val>
            <numRef>
              <f>'Tableau_de_bord'!$B$14:$B$16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Brut soumis par ville (€)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'Tableau_de_bord'!B19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'Tableau_de_bord'!$A$20:$A$28</f>
            </numRef>
          </cat>
          <val>
            <numRef>
              <f>'Tableau_de_bord'!$B$20:$B$28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37</row>
      <rowOff>0</rowOff>
    </from>
    <ext cx="504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10" customWidth="1" min="3" max="3"/>
    <col width="12" customWidth="1" min="4" max="4"/>
    <col width="11" customWidth="1" min="5" max="5"/>
    <col width="11" customWidth="1" min="6" max="6"/>
    <col width="12" customWidth="1" min="7" max="7"/>
    <col width="15" customWidth="1" min="8" max="8"/>
    <col width="11" customWidth="1" min="9" max="9"/>
    <col width="11" customWidth="1" min="10" max="10"/>
    <col width="12" customWidth="1" min="11" max="11"/>
    <col width="12" customWidth="1" min="12" max="12"/>
    <col width="11" customWidth="1" min="13" max="13"/>
    <col width="11" customWidth="1" min="14" max="14"/>
    <col width="11" customWidth="1" min="15" max="15"/>
    <col width="11" customWidth="1" min="16" max="16"/>
    <col width="13" customWidth="1" min="17" max="17"/>
    <col width="12" customWidth="1" min="18" max="18"/>
    <col width="13" customWidth="1" min="19" max="19"/>
    <col width="11" customWidth="1" min="20" max="20"/>
    <col width="13" customWidth="1" min="21" max="21"/>
    <col width="10" customWidth="1" min="22" max="22"/>
    <col width="12" customWidth="1" min="23" max="23"/>
    <col width="12" customWidth="1" min="24" max="24"/>
    <col width="12" customWidth="1" min="25" max="25"/>
    <col width="13" customWidth="1" min="26" max="26"/>
    <col width="13" customWidth="1" min="27" max="27"/>
    <col width="12" customWidth="1" min="28" max="28"/>
    <col width="34" customWidth="1" min="29" max="29"/>
  </cols>
  <sheetData>
    <row r="1" ht="30" customHeight="1">
      <c r="A1" s="1" t="inlineStr">
        <is>
          <t>BULLETIN DE PAIE — JUIN 2026 (données pédagogiques)</t>
        </is>
      </c>
    </row>
    <row r="2" ht="42" customHeight="1">
      <c r="A2" s="2" t="inlineStr">
        <is>
          <t>Matricule</t>
        </is>
      </c>
      <c r="B2" s="2" t="inlineStr">
        <is>
          <t>Nom</t>
        </is>
      </c>
      <c r="C2" s="2" t="inlineStr">
        <is>
          <t>Prénom</t>
        </is>
      </c>
      <c r="D2" s="2" t="inlineStr">
        <is>
          <t>Ville</t>
        </is>
      </c>
      <c r="E2" s="2" t="inlineStr">
        <is>
          <t>Type de contrat</t>
        </is>
      </c>
      <c r="F2" s="2" t="inlineStr">
        <is>
          <t>Statut</t>
        </is>
      </c>
      <c r="G2" s="2" t="inlineStr">
        <is>
          <t>Date d'entrée</t>
        </is>
      </c>
      <c r="H2" s="2" t="inlineStr">
        <is>
          <t>Salaire mensuel brut contractuel</t>
        </is>
      </c>
      <c r="I2" s="2" t="inlineStr">
        <is>
          <t>Taux horaire</t>
        </is>
      </c>
      <c r="J2" s="2" t="inlineStr">
        <is>
          <t>Heures contractuelles</t>
        </is>
      </c>
      <c r="K2" s="2" t="inlineStr">
        <is>
          <t>Heures supplémentaires</t>
        </is>
      </c>
      <c r="L2" s="2" t="inlineStr">
        <is>
          <t>Taux de majoration HS</t>
        </is>
      </c>
      <c r="M2" s="2" t="inlineStr">
        <is>
          <t>Absences en heures</t>
        </is>
      </c>
      <c r="N2" s="2" t="inlineStr">
        <is>
          <t>Jours de congés payés pris</t>
        </is>
      </c>
      <c r="O2" s="2" t="inlineStr">
        <is>
          <t>Prime brute</t>
        </is>
      </c>
      <c r="P2" s="2" t="inlineStr">
        <is>
          <t>Avantage en nature</t>
        </is>
      </c>
      <c r="Q2" s="2" t="inlineStr">
        <is>
          <t>Brut soumis</t>
        </is>
      </c>
      <c r="R2" s="2" t="inlineStr">
        <is>
          <t>Cotisations salariales (%)</t>
        </is>
      </c>
      <c r="S2" s="2" t="inlineStr">
        <is>
          <t>Cotisations salariales</t>
        </is>
      </c>
      <c r="T2" s="2" t="inlineStr">
        <is>
          <t>CSG/CRDS</t>
        </is>
      </c>
      <c r="U2" s="2" t="inlineStr">
        <is>
          <t>Net avant impôt</t>
        </is>
      </c>
      <c r="V2" s="2" t="inlineStr">
        <is>
          <t>Taux PAS (%)</t>
        </is>
      </c>
      <c r="W2" s="2" t="inlineStr">
        <is>
          <t>Prélèvement à la source</t>
        </is>
      </c>
      <c r="X2" s="2" t="inlineStr">
        <is>
          <t>Net à payer</t>
        </is>
      </c>
      <c r="Y2" s="2" t="inlineStr">
        <is>
          <t>Cotisations patronales (%)</t>
        </is>
      </c>
      <c r="Z2" s="2" t="inlineStr">
        <is>
          <t>Cotisations patronales</t>
        </is>
      </c>
      <c r="AA2" s="2" t="inlineStr">
        <is>
          <t>Coût total employeur</t>
        </is>
      </c>
      <c r="AB2" s="2" t="inlineStr">
        <is>
          <t>Statut de contrôle</t>
        </is>
      </c>
      <c r="AC2" s="2" t="inlineStr">
        <is>
          <t>Commentaire</t>
        </is>
      </c>
    </row>
    <row r="3">
      <c r="A3" s="3" t="inlineStr">
        <is>
          <t>SAL-001</t>
        </is>
      </c>
      <c r="B3" s="4" t="inlineStr">
        <is>
          <t>Martin</t>
        </is>
      </c>
      <c r="C3" s="4" t="inlineStr">
        <is>
          <t>Camille</t>
        </is>
      </c>
      <c r="D3" s="4" t="inlineStr">
        <is>
          <t>Paris</t>
        </is>
      </c>
      <c r="E3" s="3" t="inlineStr">
        <is>
          <t>CDI</t>
        </is>
      </c>
      <c r="F3" s="3" t="inlineStr">
        <is>
          <t>Cadre</t>
        </is>
      </c>
      <c r="G3" s="5" t="n">
        <v>44607</v>
      </c>
      <c r="H3" s="6" t="n">
        <v>4850</v>
      </c>
      <c r="I3" s="7">
        <f>IFERROR(H3/J3,0)</f>
        <v/>
      </c>
      <c r="J3" s="8" t="n">
        <v>151.67</v>
      </c>
      <c r="K3" s="8" t="n">
        <v>6</v>
      </c>
      <c r="L3" s="9" t="n">
        <v>0.25</v>
      </c>
      <c r="M3" s="8" t="n">
        <v>0</v>
      </c>
      <c r="N3" s="3" t="n">
        <v>2</v>
      </c>
      <c r="O3" s="6" t="n">
        <v>650</v>
      </c>
      <c r="P3" s="6" t="n">
        <v>80</v>
      </c>
      <c r="Q3" s="7">
        <f>H3+(I3*K3*(1+L3))-(I3*M3/J3)+O3+P3</f>
        <v/>
      </c>
      <c r="R3" s="10">
        <f>IFERROR(VLOOKUP(F3,Paramètres!$A$8:$C$10,2,FALSE),0)</f>
        <v/>
      </c>
      <c r="S3" s="7">
        <f>Q3*R3</f>
        <v/>
      </c>
      <c r="T3" s="7">
        <f>Q3*0.9825*0.075</f>
        <v/>
      </c>
      <c r="U3" s="7">
        <f>Q3-S3-T3</f>
        <v/>
      </c>
      <c r="V3" s="9" t="n">
        <v>0.125</v>
      </c>
      <c r="W3" s="7">
        <f>U3*V3</f>
        <v/>
      </c>
      <c r="X3" s="7">
        <f>U3-W3</f>
        <v/>
      </c>
      <c r="Y3" s="10">
        <f>IFERROR(VLOOKUP(F3,Paramètres!$A$8:$C$10,3,FALSE),0)</f>
        <v/>
      </c>
      <c r="Z3" s="7">
        <f>Q3*Y3</f>
        <v/>
      </c>
      <c r="AA3" s="7">
        <f>Q3+Z3</f>
        <v/>
      </c>
      <c r="AB3" s="11">
        <f>IF(OR(X3&lt;0,Q3&lt;0),"À vérifier","OK")</f>
        <v/>
      </c>
      <c r="AC3" s="4" t="inlineStr"/>
    </row>
    <row r="4">
      <c r="A4" s="3" t="inlineStr">
        <is>
          <t>SAL-002</t>
        </is>
      </c>
      <c r="B4" s="4" t="inlineStr">
        <is>
          <t>Bernard</t>
        </is>
      </c>
      <c r="C4" s="4" t="inlineStr">
        <is>
          <t>Julien</t>
        </is>
      </c>
      <c r="D4" s="4" t="inlineStr">
        <is>
          <t>Lyon</t>
        </is>
      </c>
      <c r="E4" s="3" t="inlineStr">
        <is>
          <t>CDI</t>
        </is>
      </c>
      <c r="F4" s="3" t="inlineStr">
        <is>
          <t>Non-cadre</t>
        </is>
      </c>
      <c r="G4" s="5" t="n">
        <v>45048</v>
      </c>
      <c r="H4" s="6" t="n">
        <v>2850</v>
      </c>
      <c r="I4" s="12">
        <f>IFERROR(H4/J4,0)</f>
        <v/>
      </c>
      <c r="J4" s="8" t="n">
        <v>151.67</v>
      </c>
      <c r="K4" s="8" t="n">
        <v>10</v>
      </c>
      <c r="L4" s="9" t="n">
        <v>0.25</v>
      </c>
      <c r="M4" s="8" t="n">
        <v>0</v>
      </c>
      <c r="N4" s="3" t="n">
        <v>1</v>
      </c>
      <c r="O4" s="6" t="n">
        <v>300</v>
      </c>
      <c r="P4" s="6" t="n">
        <v>0</v>
      </c>
      <c r="Q4" s="12">
        <f>H4+(I4*K4*(1+L4))-(I4*M4/J4)+O4+P4</f>
        <v/>
      </c>
      <c r="R4" s="13">
        <f>IFERROR(VLOOKUP(F4,Paramètres!$A$8:$C$10,2,FALSE),0)</f>
        <v/>
      </c>
      <c r="S4" s="12">
        <f>Q4*R4</f>
        <v/>
      </c>
      <c r="T4" s="12">
        <f>Q4*0.9825*0.075</f>
        <v/>
      </c>
      <c r="U4" s="12">
        <f>Q4-S4-T4</f>
        <v/>
      </c>
      <c r="V4" s="9" t="n">
        <v>0.065</v>
      </c>
      <c r="W4" s="12">
        <f>U4*V4</f>
        <v/>
      </c>
      <c r="X4" s="12">
        <f>U4-W4</f>
        <v/>
      </c>
      <c r="Y4" s="13">
        <f>IFERROR(VLOOKUP(F4,Paramètres!$A$8:$C$10,3,FALSE),0)</f>
        <v/>
      </c>
      <c r="Z4" s="12">
        <f>Q4*Y4</f>
        <v/>
      </c>
      <c r="AA4" s="12">
        <f>Q4+Z4</f>
        <v/>
      </c>
      <c r="AB4" s="14">
        <f>IF(OR(X4&lt;0,Q4&lt;0),"À vérifier","OK")</f>
        <v/>
      </c>
      <c r="AC4" s="4" t="inlineStr"/>
    </row>
    <row r="5">
      <c r="A5" s="3" t="inlineStr">
        <is>
          <t>SAL-003</t>
        </is>
      </c>
      <c r="B5" s="4" t="inlineStr">
        <is>
          <t>Dubois</t>
        </is>
      </c>
      <c r="C5" s="4" t="inlineStr">
        <is>
          <t>Émilie</t>
        </is>
      </c>
      <c r="D5" s="4" t="inlineStr">
        <is>
          <t>Marseille</t>
        </is>
      </c>
      <c r="E5" s="3" t="inlineStr">
        <is>
          <t>CDI</t>
        </is>
      </c>
      <c r="F5" s="3" t="inlineStr">
        <is>
          <t>Non-cadre</t>
        </is>
      </c>
      <c r="G5" s="5" t="n">
        <v>45551</v>
      </c>
      <c r="H5" s="6" t="n">
        <v>2400</v>
      </c>
      <c r="I5" s="7">
        <f>IFERROR(H5/J5,0)</f>
        <v/>
      </c>
      <c r="J5" s="8" t="n">
        <v>151.67</v>
      </c>
      <c r="K5" s="8" t="n">
        <v>4</v>
      </c>
      <c r="L5" s="9" t="n">
        <v>0.25</v>
      </c>
      <c r="M5" s="8" t="n">
        <v>3.5</v>
      </c>
      <c r="N5" s="3" t="n">
        <v>0</v>
      </c>
      <c r="O5" s="6" t="n">
        <v>200</v>
      </c>
      <c r="P5" s="6" t="n">
        <v>0</v>
      </c>
      <c r="Q5" s="7">
        <f>H5+(I5*K5*(1+L5))-(I5*M5/J5)+O5+P5</f>
        <v/>
      </c>
      <c r="R5" s="10">
        <f>IFERROR(VLOOKUP(F5,Paramètres!$A$8:$C$10,2,FALSE),0)</f>
        <v/>
      </c>
      <c r="S5" s="7">
        <f>Q5*R5</f>
        <v/>
      </c>
      <c r="T5" s="7">
        <f>Q5*0.9825*0.075</f>
        <v/>
      </c>
      <c r="U5" s="7">
        <f>Q5-S5-T5</f>
        <v/>
      </c>
      <c r="V5" s="9" t="n">
        <v>0.04</v>
      </c>
      <c r="W5" s="7">
        <f>U5*V5</f>
        <v/>
      </c>
      <c r="X5" s="7">
        <f>U5-W5</f>
        <v/>
      </c>
      <c r="Y5" s="10">
        <f>IFERROR(VLOOKUP(F5,Paramètres!$A$8:$C$10,3,FALSE),0)</f>
        <v/>
      </c>
      <c r="Z5" s="7">
        <f>Q5*Y5</f>
        <v/>
      </c>
      <c r="AA5" s="7">
        <f>Q5+Z5</f>
        <v/>
      </c>
      <c r="AB5" s="11">
        <f>IF(OR(X5&lt;0,Q5&lt;0),"À vérifier","OK")</f>
        <v/>
      </c>
      <c r="AC5" s="4" t="inlineStr">
        <is>
          <t>Absence justifiée maladie</t>
        </is>
      </c>
    </row>
    <row r="6">
      <c r="A6" s="3" t="inlineStr">
        <is>
          <t>SAL-004</t>
        </is>
      </c>
      <c r="B6" s="4" t="inlineStr">
        <is>
          <t>Moreau</t>
        </is>
      </c>
      <c r="C6" s="4" t="inlineStr">
        <is>
          <t>Lucas</t>
        </is>
      </c>
      <c r="D6" s="4" t="inlineStr">
        <is>
          <t>Toulouse</t>
        </is>
      </c>
      <c r="E6" s="3" t="inlineStr">
        <is>
          <t>CDD</t>
        </is>
      </c>
      <c r="F6" s="3" t="inlineStr">
        <is>
          <t>Non-cadre</t>
        </is>
      </c>
      <c r="G6" s="5" t="n">
        <v>46034</v>
      </c>
      <c r="H6" s="6" t="n">
        <v>1950</v>
      </c>
      <c r="I6" s="12">
        <f>IFERROR(H6/J6,0)</f>
        <v/>
      </c>
      <c r="J6" s="8" t="n">
        <v>151.67</v>
      </c>
      <c r="K6" s="8" t="n">
        <v>0</v>
      </c>
      <c r="L6" s="9" t="n">
        <v>0.25</v>
      </c>
      <c r="M6" s="8" t="n">
        <v>0</v>
      </c>
      <c r="N6" s="3" t="n">
        <v>0</v>
      </c>
      <c r="O6" s="6" t="n">
        <v>0</v>
      </c>
      <c r="P6" s="6" t="n">
        <v>0</v>
      </c>
      <c r="Q6" s="12">
        <f>H6+(I6*K6*(1+L6))-(I6*M6/J6)+O6+P6</f>
        <v/>
      </c>
      <c r="R6" s="13">
        <f>IFERROR(VLOOKUP(F6,Paramètres!$A$8:$C$10,2,FALSE),0)</f>
        <v/>
      </c>
      <c r="S6" s="12">
        <f>Q6*R6</f>
        <v/>
      </c>
      <c r="T6" s="12">
        <f>Q6*0.9825*0.075</f>
        <v/>
      </c>
      <c r="U6" s="12">
        <f>Q6-S6-T6</f>
        <v/>
      </c>
      <c r="V6" s="9" t="n">
        <v>0</v>
      </c>
      <c r="W6" s="12">
        <f>U6*V6</f>
        <v/>
      </c>
      <c r="X6" s="12">
        <f>U6-W6</f>
        <v/>
      </c>
      <c r="Y6" s="13">
        <f>IFERROR(VLOOKUP(F6,Paramètres!$A$8:$C$10,3,FALSE),0)</f>
        <v/>
      </c>
      <c r="Z6" s="12">
        <f>Q6*Y6</f>
        <v/>
      </c>
      <c r="AA6" s="12">
        <f>Q6+Z6</f>
        <v/>
      </c>
      <c r="AB6" s="14">
        <f>IF(OR(X6&lt;0,Q6&lt;0),"À vérifier","OK")</f>
        <v/>
      </c>
      <c r="AC6" s="4" t="inlineStr">
        <is>
          <t>CDD de 8 mois — fin le 11/09/2026</t>
        </is>
      </c>
    </row>
    <row r="7">
      <c r="A7" s="3" t="inlineStr">
        <is>
          <t>SAL-005</t>
        </is>
      </c>
      <c r="B7" s="4" t="inlineStr">
        <is>
          <t>Petit</t>
        </is>
      </c>
      <c r="C7" s="4" t="inlineStr">
        <is>
          <t>Chloé</t>
        </is>
      </c>
      <c r="D7" s="4" t="inlineStr">
        <is>
          <t>Bordeaux</t>
        </is>
      </c>
      <c r="E7" s="3" t="inlineStr">
        <is>
          <t>CDI</t>
        </is>
      </c>
      <c r="F7" s="3" t="inlineStr">
        <is>
          <t>Cadre</t>
        </is>
      </c>
      <c r="G7" s="5" t="n">
        <v>44872</v>
      </c>
      <c r="H7" s="6" t="n">
        <v>3900</v>
      </c>
      <c r="I7" s="7">
        <f>IFERROR(H7/J7,0)</f>
        <v/>
      </c>
      <c r="J7" s="8" t="n">
        <v>151.67</v>
      </c>
      <c r="K7" s="8" t="n">
        <v>8</v>
      </c>
      <c r="L7" s="9" t="n">
        <v>0.5</v>
      </c>
      <c r="M7" s="8" t="n">
        <v>0</v>
      </c>
      <c r="N7" s="3" t="n">
        <v>3</v>
      </c>
      <c r="O7" s="6" t="n">
        <v>500</v>
      </c>
      <c r="P7" s="6" t="n">
        <v>120</v>
      </c>
      <c r="Q7" s="7">
        <f>H7+(I7*K7*(1+L7))-(I7*M7/J7)+O7+P7</f>
        <v/>
      </c>
      <c r="R7" s="10">
        <f>IFERROR(VLOOKUP(F7,Paramètres!$A$8:$C$10,2,FALSE),0)</f>
        <v/>
      </c>
      <c r="S7" s="7">
        <f>Q7*R7</f>
        <v/>
      </c>
      <c r="T7" s="7">
        <f>Q7*0.9825*0.075</f>
        <v/>
      </c>
      <c r="U7" s="7">
        <f>Q7-S7-T7</f>
        <v/>
      </c>
      <c r="V7" s="9" t="n">
        <v>0.095</v>
      </c>
      <c r="W7" s="7">
        <f>U7*V7</f>
        <v/>
      </c>
      <c r="X7" s="7">
        <f>U7-W7</f>
        <v/>
      </c>
      <c r="Y7" s="10">
        <f>IFERROR(VLOOKUP(F7,Paramètres!$A$8:$C$10,3,FALSE),0)</f>
        <v/>
      </c>
      <c r="Z7" s="7">
        <f>Q7*Y7</f>
        <v/>
      </c>
      <c r="AA7" s="7">
        <f>Q7+Z7</f>
        <v/>
      </c>
      <c r="AB7" s="11">
        <f>IF(OR(X7&lt;0,Q7&lt;0),"À vérifier","OK")</f>
        <v/>
      </c>
      <c r="AC7" s="4" t="inlineStr"/>
    </row>
    <row r="8">
      <c r="A8" s="3" t="inlineStr">
        <is>
          <t>SAL-006</t>
        </is>
      </c>
      <c r="B8" s="4" t="inlineStr">
        <is>
          <t>Robert</t>
        </is>
      </c>
      <c r="C8" s="4" t="inlineStr">
        <is>
          <t>Thomas</t>
        </is>
      </c>
      <c r="D8" s="4" t="inlineStr">
        <is>
          <t>Lille</t>
        </is>
      </c>
      <c r="E8" s="3" t="inlineStr">
        <is>
          <t>CDI</t>
        </is>
      </c>
      <c r="F8" s="3" t="inlineStr">
        <is>
          <t>Non-cadre</t>
        </is>
      </c>
      <c r="G8" s="5" t="n">
        <v>45768</v>
      </c>
      <c r="H8" s="6" t="n">
        <v>2150</v>
      </c>
      <c r="I8" s="12">
        <f>IFERROR(H8/J8,0)</f>
        <v/>
      </c>
      <c r="J8" s="8" t="n">
        <v>151.67</v>
      </c>
      <c r="K8" s="8" t="n">
        <v>5</v>
      </c>
      <c r="L8" s="9" t="n">
        <v>0.25</v>
      </c>
      <c r="M8" s="8" t="n">
        <v>7</v>
      </c>
      <c r="N8" s="3" t="n">
        <v>0</v>
      </c>
      <c r="O8" s="6" t="n">
        <v>150</v>
      </c>
      <c r="P8" s="6" t="n">
        <v>0</v>
      </c>
      <c r="Q8" s="12">
        <f>H8+(I8*K8*(1+L8))-(I8*M8/J8)+O8+P8</f>
        <v/>
      </c>
      <c r="R8" s="13">
        <f>IFERROR(VLOOKUP(F8,Paramètres!$A$8:$C$10,2,FALSE),0)</f>
        <v/>
      </c>
      <c r="S8" s="12">
        <f>Q8*R8</f>
        <v/>
      </c>
      <c r="T8" s="12">
        <f>Q8*0.9825*0.075</f>
        <v/>
      </c>
      <c r="U8" s="12">
        <f>Q8-S8-T8</f>
        <v/>
      </c>
      <c r="V8" s="9" t="n">
        <v>0.028</v>
      </c>
      <c r="W8" s="12">
        <f>U8*V8</f>
        <v/>
      </c>
      <c r="X8" s="12">
        <f>U8-W8</f>
        <v/>
      </c>
      <c r="Y8" s="13">
        <f>IFERROR(VLOOKUP(F8,Paramètres!$A$8:$C$10,3,FALSE),0)</f>
        <v/>
      </c>
      <c r="Z8" s="12">
        <f>Q8*Y8</f>
        <v/>
      </c>
      <c r="AA8" s="12">
        <f>Q8+Z8</f>
        <v/>
      </c>
      <c r="AB8" s="14">
        <f>IF(OR(X8&lt;0,Q8&lt;0),"À vérifier","OK")</f>
        <v/>
      </c>
      <c r="AC8" s="4" t="inlineStr">
        <is>
          <t>Absences non justifiées — retenue</t>
        </is>
      </c>
    </row>
    <row r="9">
      <c r="A9" s="3" t="inlineStr">
        <is>
          <t>SAL-007</t>
        </is>
      </c>
      <c r="B9" s="4" t="inlineStr">
        <is>
          <t>Richard</t>
        </is>
      </c>
      <c r="C9" s="4" t="inlineStr">
        <is>
          <t>Léa</t>
        </is>
      </c>
      <c r="D9" s="4" t="inlineStr">
        <is>
          <t>Nantes</t>
        </is>
      </c>
      <c r="E9" s="3" t="inlineStr">
        <is>
          <t>Alternance</t>
        </is>
      </c>
      <c r="F9" s="3" t="inlineStr">
        <is>
          <t>Alternance</t>
        </is>
      </c>
      <c r="G9" s="5" t="n">
        <v>45901</v>
      </c>
      <c r="H9" s="6" t="n">
        <v>1420</v>
      </c>
      <c r="I9" s="7">
        <f>IFERROR(H9/J9,0)</f>
        <v/>
      </c>
      <c r="J9" s="8" t="n">
        <v>151.67</v>
      </c>
      <c r="K9" s="8" t="n">
        <v>0</v>
      </c>
      <c r="L9" s="9" t="n">
        <v>0.25</v>
      </c>
      <c r="M9" s="8" t="n">
        <v>0</v>
      </c>
      <c r="N9" s="3" t="n">
        <v>0</v>
      </c>
      <c r="O9" s="6" t="n">
        <v>0</v>
      </c>
      <c r="P9" s="6" t="n">
        <v>0</v>
      </c>
      <c r="Q9" s="7">
        <f>H9+(I9*K9*(1+L9))-(I9*M9/J9)+O9+P9</f>
        <v/>
      </c>
      <c r="R9" s="10">
        <f>IFERROR(VLOOKUP(F9,Paramètres!$A$8:$C$10,2,FALSE),0)</f>
        <v/>
      </c>
      <c r="S9" s="7">
        <f>Q9*R9</f>
        <v/>
      </c>
      <c r="T9" s="7">
        <f>Q9*0.9825*0.075</f>
        <v/>
      </c>
      <c r="U9" s="7">
        <f>Q9-S9-T9</f>
        <v/>
      </c>
      <c r="V9" s="9" t="n">
        <v>0</v>
      </c>
      <c r="W9" s="7">
        <f>U9*V9</f>
        <v/>
      </c>
      <c r="X9" s="7">
        <f>U9-W9</f>
        <v/>
      </c>
      <c r="Y9" s="10">
        <f>IFERROR(VLOOKUP(F9,Paramètres!$A$8:$C$10,3,FALSE),0)</f>
        <v/>
      </c>
      <c r="Z9" s="7">
        <f>Q9*Y9</f>
        <v/>
      </c>
      <c r="AA9" s="7">
        <f>Q9+Z9</f>
        <v/>
      </c>
      <c r="AB9" s="11">
        <f>IF(OR(X9&lt;0,Q9&lt;0),"À vérifier","OK")</f>
        <v/>
      </c>
      <c r="AC9" s="4" t="inlineStr">
        <is>
          <t>Contrat d'apprentissage</t>
        </is>
      </c>
    </row>
    <row r="10">
      <c r="A10" s="3" t="inlineStr">
        <is>
          <t>SAL-008</t>
        </is>
      </c>
      <c r="B10" s="4" t="inlineStr">
        <is>
          <t>Durand</t>
        </is>
      </c>
      <c r="C10" s="4" t="inlineStr">
        <is>
          <t>Nicolas</t>
        </is>
      </c>
      <c r="D10" s="4" t="inlineStr">
        <is>
          <t>Strasbourg</t>
        </is>
      </c>
      <c r="E10" s="3" t="inlineStr">
        <is>
          <t>CDI</t>
        </is>
      </c>
      <c r="F10" s="3" t="inlineStr">
        <is>
          <t>Cadre</t>
        </is>
      </c>
      <c r="G10" s="5" t="n">
        <v>44991</v>
      </c>
      <c r="H10" s="6" t="n">
        <v>4200</v>
      </c>
      <c r="I10" s="12">
        <f>IFERROR(H10/J10,0)</f>
        <v/>
      </c>
      <c r="J10" s="8" t="n">
        <v>151.67</v>
      </c>
      <c r="K10" s="8" t="n">
        <v>0</v>
      </c>
      <c r="L10" s="9" t="n">
        <v>0.25</v>
      </c>
      <c r="M10" s="8" t="n">
        <v>0</v>
      </c>
      <c r="N10" s="3" t="n">
        <v>4</v>
      </c>
      <c r="O10" s="6" t="n">
        <v>750</v>
      </c>
      <c r="P10" s="6" t="n">
        <v>95</v>
      </c>
      <c r="Q10" s="12">
        <f>H10+(I10*K10*(1+L10))-(I10*M10/J10)+O10+P10</f>
        <v/>
      </c>
      <c r="R10" s="13">
        <f>IFERROR(VLOOKUP(F10,Paramètres!$A$8:$C$10,2,FALSE),0)</f>
        <v/>
      </c>
      <c r="S10" s="12">
        <f>Q10*R10</f>
        <v/>
      </c>
      <c r="T10" s="12">
        <f>Q10*0.9825*0.075</f>
        <v/>
      </c>
      <c r="U10" s="12">
        <f>Q10-S10-T10</f>
        <v/>
      </c>
      <c r="V10" s="9" t="n">
        <v>0.115</v>
      </c>
      <c r="W10" s="12">
        <f>U10*V10</f>
        <v/>
      </c>
      <c r="X10" s="12">
        <f>U10-W10</f>
        <v/>
      </c>
      <c r="Y10" s="13">
        <f>IFERROR(VLOOKUP(F10,Paramètres!$A$8:$C$10,3,FALSE),0)</f>
        <v/>
      </c>
      <c r="Z10" s="12">
        <f>Q10*Y10</f>
        <v/>
      </c>
      <c r="AA10" s="12">
        <f>Q10+Z10</f>
        <v/>
      </c>
      <c r="AB10" s="14">
        <f>IF(OR(X10&lt;0,Q10&lt;0),"À vérifier","OK")</f>
        <v/>
      </c>
      <c r="AC10" s="4" t="inlineStr"/>
    </row>
    <row r="11">
      <c r="A11" s="3" t="inlineStr">
        <is>
          <t>SAL-009</t>
        </is>
      </c>
      <c r="B11" s="4" t="inlineStr">
        <is>
          <t>Leroy</t>
        </is>
      </c>
      <c r="C11" s="4" t="inlineStr">
        <is>
          <t>Manon</t>
        </is>
      </c>
      <c r="D11" s="4" t="inlineStr">
        <is>
          <t>Nice</t>
        </is>
      </c>
      <c r="E11" s="3" t="inlineStr">
        <is>
          <t>CDI</t>
        </is>
      </c>
      <c r="F11" s="3" t="inlineStr">
        <is>
          <t>Non-cadre</t>
        </is>
      </c>
      <c r="G11" s="5" t="n">
        <v>46084</v>
      </c>
      <c r="H11" s="6" t="n">
        <v>1780</v>
      </c>
      <c r="I11" s="7">
        <f>IFERROR(H11/J11,0)</f>
        <v/>
      </c>
      <c r="J11" s="8" t="n">
        <v>151.67</v>
      </c>
      <c r="K11" s="8" t="n">
        <v>3</v>
      </c>
      <c r="L11" s="9" t="n">
        <v>0.25</v>
      </c>
      <c r="M11" s="8" t="n">
        <v>0</v>
      </c>
      <c r="N11" s="3" t="n">
        <v>0</v>
      </c>
      <c r="O11" s="6" t="n">
        <v>100</v>
      </c>
      <c r="P11" s="6" t="n">
        <v>0</v>
      </c>
      <c r="Q11" s="7">
        <f>H11+(I11*K11*(1+L11))-(I11*M11/J11)+O11+P11</f>
        <v/>
      </c>
      <c r="R11" s="10">
        <f>IFERROR(VLOOKUP(F11,Paramètres!$A$8:$C$10,2,FALSE),0)</f>
        <v/>
      </c>
      <c r="S11" s="7">
        <f>Q11*R11</f>
        <v/>
      </c>
      <c r="T11" s="7">
        <f>Q11*0.9825*0.075</f>
        <v/>
      </c>
      <c r="U11" s="7">
        <f>Q11-S11-T11</f>
        <v/>
      </c>
      <c r="V11" s="9" t="n">
        <v>0.02</v>
      </c>
      <c r="W11" s="7">
        <f>U11*V11</f>
        <v/>
      </c>
      <c r="X11" s="7">
        <f>U11-W11</f>
        <v/>
      </c>
      <c r="Y11" s="10">
        <f>IFERROR(VLOOKUP(F11,Paramètres!$A$8:$C$10,3,FALSE),0)</f>
        <v/>
      </c>
      <c r="Z11" s="7">
        <f>Q11*Y11</f>
        <v/>
      </c>
      <c r="AA11" s="7">
        <f>Q11+Z11</f>
        <v/>
      </c>
      <c r="AB11" s="11">
        <f>IF(OR(X11&lt;0,Q11&lt;0),"À vérifier","OK")</f>
        <v/>
      </c>
      <c r="AC11" s="4" t="inlineStr">
        <is>
          <t>Entrée récente</t>
        </is>
      </c>
    </row>
    <row r="12">
      <c r="A12" s="15" t="n"/>
      <c r="B12" s="15" t="inlineStr">
        <is>
          <t>TOTAL</t>
        </is>
      </c>
      <c r="C12" s="15" t="n"/>
      <c r="D12" s="15" t="n"/>
      <c r="E12" s="15" t="n"/>
      <c r="F12" s="15" t="n"/>
      <c r="G12" s="15" t="n"/>
      <c r="H12" s="16">
        <f>SUM(H3:H11)</f>
        <v/>
      </c>
      <c r="I12" s="15" t="n"/>
      <c r="J12" s="15" t="n"/>
      <c r="K12" s="17">
        <f>SUM(K3:K11)</f>
        <v/>
      </c>
      <c r="L12" s="15" t="n"/>
      <c r="M12" s="15" t="n"/>
      <c r="N12" s="15" t="n"/>
      <c r="O12" s="16">
        <f>SUM(O3:O11)</f>
        <v/>
      </c>
      <c r="P12" s="16">
        <f>SUM(P3:P11)</f>
        <v/>
      </c>
      <c r="Q12" s="16">
        <f>SUM(Q3:Q11)</f>
        <v/>
      </c>
      <c r="R12" s="15" t="n"/>
      <c r="S12" s="16">
        <f>SUM(S3:S11)</f>
        <v/>
      </c>
      <c r="T12" s="16">
        <f>SUM(T3:T11)</f>
        <v/>
      </c>
      <c r="U12" s="16">
        <f>SUM(U3:U11)</f>
        <v/>
      </c>
      <c r="V12" s="15" t="n"/>
      <c r="W12" s="16">
        <f>SUM(W3:W11)</f>
        <v/>
      </c>
      <c r="X12" s="16">
        <f>SUM(X3:X11)</f>
        <v/>
      </c>
      <c r="Y12" s="15" t="n"/>
      <c r="Z12" s="16">
        <f>SUM(Z3:Z11)</f>
        <v/>
      </c>
      <c r="AA12" s="16">
        <f>SUM(AA3:AA11)</f>
        <v/>
      </c>
      <c r="AB12" s="15" t="n"/>
      <c r="AC12" s="15" t="n"/>
    </row>
    <row r="13">
      <c r="B13" s="18" t="inlineStr">
        <is>
          <t>Net moyen</t>
        </is>
      </c>
      <c r="X13" s="19">
        <f>AVERAGE(X3:X11)</f>
        <v/>
      </c>
      <c r="Z13" s="18" t="inlineStr">
        <is>
          <t>Anomalies</t>
        </is>
      </c>
      <c r="AB13" s="20">
        <f>COUNTIF(AB3:AB11,"À vérifier")</f>
        <v/>
      </c>
    </row>
  </sheetData>
  <mergeCells count="1">
    <mergeCell ref="A1:AC1"/>
  </mergeCells>
  <dataValidations count="2">
    <dataValidation sqref="E3:E11" showErrorMessage="1" showInputMessage="1" allowBlank="1" type="list">
      <formula1>"CDI,CDD,Alternance"</formula1>
    </dataValidation>
    <dataValidation sqref="F3:F11" showErrorMessage="1" showInputMessage="1" allowBlank="1" type="list">
      <formula1>"Cadre,Non-cadre,Alternance"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0" customHeight="1">
      <c r="A1" s="1" t="inlineStr">
        <is>
          <t>TABLEAU DE BORD PAIE — JUIN 2026</t>
        </is>
      </c>
    </row>
    <row r="3">
      <c r="A3" s="21" t="inlineStr">
        <is>
          <t>Indicateurs clés</t>
        </is>
      </c>
    </row>
    <row r="4">
      <c r="A4" s="22" t="inlineStr">
        <is>
          <t>Effectif traité</t>
        </is>
      </c>
      <c r="B4" s="23">
        <f>COUNTIF(Paie_Juin_2026!B3:B11,"&lt;&gt;")</f>
        <v/>
      </c>
    </row>
    <row r="5">
      <c r="A5" s="24" t="inlineStr">
        <is>
          <t>Masse salariale brute</t>
        </is>
      </c>
      <c r="B5" s="25">
        <f>SUM(Paie_Juin_2026!Q3:Q11)</f>
        <v/>
      </c>
    </row>
    <row r="6">
      <c r="A6" s="22" t="inlineStr">
        <is>
          <t>Net total à payer</t>
        </is>
      </c>
      <c r="B6" s="26">
        <f>SUM(Paie_Juin_2026!X3:X11)</f>
        <v/>
      </c>
    </row>
    <row r="7">
      <c r="A7" s="24" t="inlineStr">
        <is>
          <t>Coût total employeur</t>
        </is>
      </c>
      <c r="B7" s="25">
        <f>SUM(Paie_Juin_2026!AA3:AA11)</f>
        <v/>
      </c>
    </row>
    <row r="8">
      <c r="A8" s="22" t="inlineStr">
        <is>
          <t>Net moyen</t>
        </is>
      </c>
      <c r="B8" s="26">
        <f>AVERAGE(Paie_Juin_2026!X3:X11)</f>
        <v/>
      </c>
    </row>
    <row r="9">
      <c r="A9" s="24" t="inlineStr">
        <is>
          <t>Salariés à vérifier</t>
        </is>
      </c>
      <c r="B9" s="27">
        <f>COUNTIF(Paie_Juin_2026!AB3:AB11,"À vérifier")</f>
        <v/>
      </c>
    </row>
    <row r="10">
      <c r="A10" s="22" t="inlineStr">
        <is>
          <t>Part cotisations patronales</t>
        </is>
      </c>
      <c r="B10" s="28">
        <f>IFERROR(SUM(Paie_Juin_2026!Z3:Z11)/SUM(Paie_Juin_2026!AA3:AA11),0)</f>
        <v/>
      </c>
    </row>
    <row r="12">
      <c r="A12" s="21" t="inlineStr">
        <is>
          <t>Structure du coût total</t>
        </is>
      </c>
    </row>
    <row r="13">
      <c r="A13" s="29" t="inlineStr">
        <is>
          <t>Composante</t>
        </is>
      </c>
      <c r="B13" s="29" t="inlineStr">
        <is>
          <t>Montant</t>
        </is>
      </c>
    </row>
    <row r="14">
      <c r="A14" s="30" t="inlineStr">
        <is>
          <t>Net à payer</t>
        </is>
      </c>
      <c r="B14" s="31">
        <f>SUM(Paie_Juin_2026!X3:X11)</f>
        <v/>
      </c>
    </row>
    <row r="15">
      <c r="A15" s="30" t="inlineStr">
        <is>
          <t>Cotisations salariales + CSG</t>
        </is>
      </c>
      <c r="B15" s="31">
        <f>SUM(Paie_Juin_2026!S3:S11)+SUM(Paie_Juin_2026!T3:T11)+SUM(Paie_Juin_2026!W3:W11)</f>
        <v/>
      </c>
    </row>
    <row r="16">
      <c r="A16" s="30" t="inlineStr">
        <is>
          <t>Cotisations patronales</t>
        </is>
      </c>
      <c r="B16" s="31">
        <f>SUM(Paie_Juin_2026!Z3:Z11)</f>
        <v/>
      </c>
    </row>
    <row r="18">
      <c r="A18" s="21" t="inlineStr">
        <is>
          <t>Brut soumis par ville</t>
        </is>
      </c>
    </row>
    <row r="19">
      <c r="A19" s="29" t="inlineStr">
        <is>
          <t>Ville</t>
        </is>
      </c>
      <c r="B19" s="29" t="inlineStr">
        <is>
          <t>Brut soumis</t>
        </is>
      </c>
    </row>
    <row r="20">
      <c r="A20" s="30" t="inlineStr">
        <is>
          <t>Paris</t>
        </is>
      </c>
      <c r="B20" s="31">
        <f>SUMIF(Paie_Juin_2026!D3:D11,A20,Paie_Juin_2026!Q3:Q11)</f>
        <v/>
      </c>
    </row>
    <row r="21">
      <c r="A21" s="30" t="inlineStr">
        <is>
          <t>Lyon</t>
        </is>
      </c>
      <c r="B21" s="31">
        <f>SUMIF(Paie_Juin_2026!D3:D11,A21,Paie_Juin_2026!Q3:Q11)</f>
        <v/>
      </c>
    </row>
    <row r="22">
      <c r="A22" s="30" t="inlineStr">
        <is>
          <t>Marseille</t>
        </is>
      </c>
      <c r="B22" s="31">
        <f>SUMIF(Paie_Juin_2026!D3:D11,A22,Paie_Juin_2026!Q3:Q11)</f>
        <v/>
      </c>
    </row>
    <row r="23">
      <c r="A23" s="30" t="inlineStr">
        <is>
          <t>Toulouse</t>
        </is>
      </c>
      <c r="B23" s="31">
        <f>SUMIF(Paie_Juin_2026!D3:D11,A23,Paie_Juin_2026!Q3:Q11)</f>
        <v/>
      </c>
    </row>
    <row r="24">
      <c r="A24" s="30" t="inlineStr">
        <is>
          <t>Bordeaux</t>
        </is>
      </c>
      <c r="B24" s="31">
        <f>SUMIF(Paie_Juin_2026!D3:D11,A24,Paie_Juin_2026!Q3:Q11)</f>
        <v/>
      </c>
    </row>
    <row r="25">
      <c r="A25" s="30" t="inlineStr">
        <is>
          <t>Lille</t>
        </is>
      </c>
      <c r="B25" s="31">
        <f>SUMIF(Paie_Juin_2026!D3:D11,A25,Paie_Juin_2026!Q3:Q11)</f>
        <v/>
      </c>
    </row>
    <row r="26">
      <c r="A26" s="30" t="inlineStr">
        <is>
          <t>Nantes</t>
        </is>
      </c>
      <c r="B26" s="31">
        <f>SUMIF(Paie_Juin_2026!D3:D11,A26,Paie_Juin_2026!Q3:Q11)</f>
        <v/>
      </c>
    </row>
    <row r="27">
      <c r="A27" s="30" t="inlineStr">
        <is>
          <t>Strasbourg</t>
        </is>
      </c>
      <c r="B27" s="31">
        <f>SUMIF(Paie_Juin_2026!D3:D11,A27,Paie_Juin_2026!Q3:Q11)</f>
        <v/>
      </c>
    </row>
    <row r="28">
      <c r="A28" s="30" t="inlineStr">
        <is>
          <t>Nice</t>
        </is>
      </c>
      <c r="B28" s="31">
        <f>SUMIF(Paie_Juin_2026!D3:D11,A28,Paie_Juin_2026!Q3:Q11)</f>
        <v/>
      </c>
    </row>
  </sheetData>
  <mergeCells count="4">
    <mergeCell ref="A1:H1"/>
    <mergeCell ref="A3:B3"/>
    <mergeCell ref="A12:B12"/>
    <mergeCell ref="A18:B1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42" customWidth="1" min="1" max="1"/>
    <col width="22" customWidth="1" min="2" max="2"/>
    <col width="24" customWidth="1" min="3" max="3"/>
    <col width="16" customWidth="1" min="4" max="4"/>
  </cols>
  <sheetData>
    <row r="1" ht="30" customHeight="1">
      <c r="A1" s="1" t="inlineStr">
        <is>
          <t>PARAMÈTRES DE PAIE — JUIN 2026</t>
        </is>
      </c>
    </row>
    <row r="3">
      <c r="A3" s="21" t="inlineStr">
        <is>
          <t>Paramètres généraux</t>
        </is>
      </c>
    </row>
    <row r="4">
      <c r="A4" s="32" t="inlineStr">
        <is>
          <t>Mois traité</t>
        </is>
      </c>
      <c r="B4" s="33" t="inlineStr">
        <is>
          <t>Juin 2026</t>
        </is>
      </c>
    </row>
    <row r="5">
      <c r="A5" s="32" t="inlineStr">
        <is>
          <t>Heures mensuelles légales</t>
        </is>
      </c>
      <c r="B5" s="34" t="n">
        <v>151.67</v>
      </c>
    </row>
    <row r="6">
      <c r="A6" s="32" t="inlineStr">
        <is>
          <t>CSG/CRDS illustrative</t>
        </is>
      </c>
      <c r="B6" s="35" t="n">
        <v>0.075</v>
      </c>
    </row>
    <row r="7">
      <c r="A7" s="36" t="inlineStr">
        <is>
          <t>Taux de cotisations indicatifs par statut</t>
        </is>
      </c>
      <c r="B7" s="37" t="n"/>
      <c r="C7" s="38" t="n"/>
    </row>
    <row r="8">
      <c r="A8" s="2" t="inlineStr">
        <is>
          <t>Statut</t>
        </is>
      </c>
      <c r="B8" s="2" t="inlineStr">
        <is>
          <t>Cotisations salariales</t>
        </is>
      </c>
      <c r="C8" s="2" t="inlineStr">
        <is>
          <t>Cotisations patronales</t>
        </is>
      </c>
    </row>
    <row r="9">
      <c r="A9" s="39" t="inlineStr">
        <is>
          <t>Cadre</t>
        </is>
      </c>
      <c r="B9" s="35" t="n">
        <v>0.22</v>
      </c>
      <c r="C9" s="35" t="n">
        <v>0.42</v>
      </c>
    </row>
    <row r="10">
      <c r="A10" s="39" t="inlineStr">
        <is>
          <t>Non-cadre</t>
        </is>
      </c>
      <c r="B10" s="35" t="n">
        <v>0.21</v>
      </c>
      <c r="C10" s="35" t="n">
        <v>0.4</v>
      </c>
    </row>
    <row r="11">
      <c r="A11" s="39" t="inlineStr">
        <is>
          <t>Alternance</t>
        </is>
      </c>
      <c r="B11" s="35" t="n">
        <v>0.1</v>
      </c>
      <c r="C11" s="35" t="n">
        <v>0.3</v>
      </c>
    </row>
    <row r="13">
      <c r="A13" s="21" t="inlineStr">
        <is>
          <t>Contrôles de cohérence</t>
        </is>
      </c>
    </row>
    <row r="14">
      <c r="A14" s="32" t="inlineStr">
        <is>
          <t>Dates d'entrée postérieures au mois traité</t>
        </is>
      </c>
      <c r="B14" s="38" t="n"/>
      <c r="C14" s="40">
        <f>COUNTIF(Paie_Juin_2026!G3:G11,"&gt;30/06/2026")</f>
        <v/>
      </c>
    </row>
    <row r="15">
      <c r="A15" s="32" t="inlineStr">
        <is>
          <t>Taux PAS hors plage 0 % – 50 %</t>
        </is>
      </c>
      <c r="B15" s="38" t="n"/>
      <c r="C15" s="40">
        <f>COUNTIFS(Paie_Juin_2026!V3:V11,"&lt;0")+COUNTIFS(Paie_Juin_2026!V3:V11,"&gt;0.5")</f>
        <v/>
      </c>
    </row>
    <row r="16">
      <c r="A16" s="32" t="inlineStr">
        <is>
          <t>Nets à payer négatifs</t>
        </is>
      </c>
      <c r="B16" s="38" t="n"/>
      <c r="C16" s="40">
        <f>COUNTIF(Paie_Juin_2026!X3:X11,"&lt;0")</f>
        <v/>
      </c>
    </row>
    <row r="17">
      <c r="A17" s="32" t="inlineStr">
        <is>
          <t>Bruts soumis négatifs</t>
        </is>
      </c>
      <c r="B17" s="38" t="n"/>
      <c r="C17" s="40">
        <f>COUNTIF(Paie_Juin_2026!Q3:Q11,"&lt;0")</f>
        <v/>
      </c>
    </row>
    <row r="19">
      <c r="A19" s="41" t="inlineStr">
        <is>
          <t>Taux fournis à titre pédagogique — à valider selon convention collective, régime social et réglementation en vigueur.</t>
        </is>
      </c>
    </row>
  </sheetData>
  <mergeCells count="9">
    <mergeCell ref="A1:D1"/>
    <mergeCell ref="A3:B3"/>
    <mergeCell ref="A7:C7"/>
    <mergeCell ref="A13:C13"/>
    <mergeCell ref="A14:B14"/>
    <mergeCell ref="A15:B15"/>
    <mergeCell ref="A16:B16"/>
    <mergeCell ref="A17:B17"/>
    <mergeCell ref="A19:D1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40" customWidth="1" min="1" max="1"/>
    <col width="30" customWidth="1" min="2" max="2"/>
    <col width="30" customWidth="1" min="3" max="3"/>
  </cols>
  <sheetData>
    <row r="1" ht="30" customHeight="1">
      <c r="A1" s="1" t="inlineStr">
        <is>
          <t>MODE D'EMPLOI — CLASSEUR DE PAIE</t>
        </is>
      </c>
    </row>
    <row r="3">
      <c r="A3" s="42" t="inlineStr">
        <is>
          <t>Paie_Juin_2026</t>
        </is>
      </c>
    </row>
    <row r="4" ht="55" customHeight="1">
      <c r="A4" s="43" t="inlineStr">
        <is>
          <t>Feuille principale : une ligne par salarié. Les cellules jaunes (#FFFBEB) sont à saisir (identité, contrat, salaire brut, heures, primes, taux PAS). Les autres colonnes sont calculées automatiquement : brut soumis, cotisations, net à payer, coût employeur et contrôle OK / À vérifier.</t>
        </is>
      </c>
      <c r="B4" s="37" t="n"/>
      <c r="C4" s="38" t="n"/>
    </row>
    <row r="6">
      <c r="A6" s="42" t="inlineStr">
        <is>
          <t>Tableau_de_bord</t>
        </is>
      </c>
    </row>
    <row r="7" ht="55" customHeight="1">
      <c r="A7" s="43" t="inlineStr">
        <is>
          <t>Synthèse automatique pour le responsable RH : effectif, masse salariale, nets, coût employeur, anomalies, ainsi que trois graphiques (coût par salarié, répartition du coût, brut par ville).</t>
        </is>
      </c>
      <c r="B7" s="37" t="n"/>
      <c r="C7" s="38" t="n"/>
    </row>
    <row r="9">
      <c r="A9" s="42" t="inlineStr">
        <is>
          <t>Paramètres</t>
        </is>
      </c>
    </row>
    <row r="10" ht="55" customHeight="1">
      <c r="A10" s="43" t="inlineStr">
        <is>
          <t>Taux de cotisations indicatifs par statut (Cadre / Non-cadre / Alternance) utilisés par les formules VLOOKUP, paramètres généraux (heures mensuelles, CSG) et contrôles de cohérence (dates, taux PAS, nets négatifs).</t>
        </is>
      </c>
      <c r="B10" s="37" t="n"/>
      <c r="C10" s="38" t="n"/>
    </row>
    <row r="12">
      <c r="A12" s="42" t="inlineStr">
        <is>
          <t>Saisie</t>
        </is>
      </c>
    </row>
    <row r="13" ht="55" customHeight="1">
      <c r="A13" s="43" t="inlineStr">
        <is>
          <t>Saisir uniquement dans les cellules jaunes. Utiliser les listes déroulantes pour le type de contrat et le statut afin de garantir la cohérence des taux.</t>
        </is>
      </c>
      <c r="B13" s="37" t="n"/>
      <c r="C13" s="38" t="n"/>
    </row>
    <row r="15">
      <c r="A15" s="42" t="inlineStr">
        <is>
          <t>Avertissement</t>
        </is>
      </c>
    </row>
    <row r="16" ht="55" customHeight="1">
      <c r="A16" s="43" t="inlineStr">
        <is>
          <t>Classeur pédagogique : les taux sont indicatifs et doivent être validés selon la convention collective, le régime social et la réglementation en vigueur avant tout usage réel.</t>
        </is>
      </c>
      <c r="B16" s="37" t="n"/>
      <c r="C16" s="38" t="n"/>
    </row>
  </sheetData>
  <mergeCells count="11">
    <mergeCell ref="A1:C1"/>
    <mergeCell ref="A3:C3"/>
    <mergeCell ref="A4:C4"/>
    <mergeCell ref="A6:C6"/>
    <mergeCell ref="A7:C7"/>
    <mergeCell ref="A9:C9"/>
    <mergeCell ref="A10:C10"/>
    <mergeCell ref="A12:C12"/>
    <mergeCell ref="A13:C13"/>
    <mergeCell ref="A15:C15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2026-08-01T14:42:00Z</dcterms:created>
  <dcterms:modified xmlns:dcterms="http://purl.org/dc/terms/" xmlns:xsi="http://www.w3.org/2001/XMLSchema-instance" xsi:type="dcterms:W3CDTF">2026-08-01T14:42:00Z</dcterms:modified>
</cp:coreProperties>
</file>