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spects" sheetId="1" state="visible" r:id="rId1"/>
    <sheet xmlns:r="http://schemas.openxmlformats.org/officeDocument/2006/relationships" name="Tableau de bord" sheetId="2" state="visible" r:id="rId2"/>
    <sheet xmlns:r="http://schemas.openxmlformats.org/officeDocument/2006/relationships" name="Instructions" sheetId="3" state="visible" r:id="rId3"/>
  </sheets>
  <definedNames>
    <definedName name="_xlnm._FilterDatabase" localSheetId="0" hidden="1">'Prospects'!$A$2:$T$11</definedName>
  </definedNames>
  <calcPr calcId="124519" fullCalcOnLoad="1"/>
</workbook>
</file>

<file path=xl/styles.xml><?xml version="1.0" encoding="utf-8"?>
<styleSheet xmlns="http://schemas.openxmlformats.org/spreadsheetml/2006/main">
  <numFmts count="3">
    <numFmt numFmtId="164" formatCode="yyyy-mm-dd"/>
    <numFmt numFmtId="165" formatCode="JJ/MM/AAAA"/>
    <numFmt numFmtId="166" formatCode="#\ ##0,00\ &quot;€&quot;"/>
  </numFmts>
  <fonts count="6">
    <font>
      <name val="Calibri"/>
      <family val="2"/>
      <color theme="1"/>
      <sz val="11"/>
      <scheme val="minor"/>
    </font>
    <font>
      <b val="1"/>
      <color rgb="00FFFFFF"/>
      <sz val="14"/>
    </font>
    <font>
      <b val="1"/>
      <color rgb="00FFFFFF"/>
      <sz val="11"/>
    </font>
    <font>
      <b val="1"/>
      <sz val="11"/>
    </font>
    <font>
      <b val="1"/>
      <color rgb="00DC2626"/>
      <sz val="11"/>
    </font>
    <font>
      <b val="1"/>
      <color rgb="00FFFFFF"/>
    </font>
  </fonts>
  <fills count="9">
    <fill>
      <patternFill/>
    </fill>
    <fill>
      <patternFill patternType="gray125"/>
    </fill>
    <fill>
      <patternFill patternType="solid">
        <fgColor rgb="000891B2"/>
      </patternFill>
    </fill>
    <fill>
      <patternFill patternType="solid">
        <fgColor rgb="00E11D48"/>
      </patternFill>
    </fill>
    <fill>
      <patternFill patternType="solid">
        <fgColor rgb="00FDF0F3"/>
      </patternFill>
    </fill>
    <fill>
      <patternFill patternType="solid">
        <fgColor rgb="00FFFBEB"/>
      </patternFill>
    </fill>
    <fill>
      <patternFill patternType="solid">
        <fgColor rgb="00FFFFFF"/>
      </patternFill>
    </fill>
    <fill>
      <patternFill patternType="solid">
        <fgColor rgb="00FEE2E2"/>
      </patternFill>
    </fill>
    <fill>
      <patternFill patternType="solid">
        <fgColor rgb="00BE123C"/>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9">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center" vertical="center" wrapText="1"/>
    </xf>
    <xf numFmtId="0" fontId="0" fillId="4" borderId="1" applyAlignment="1" pivotButton="0" quotePrefix="0" xfId="0">
      <alignment horizontal="center" vertical="center"/>
    </xf>
    <xf numFmtId="165" fontId="0" fillId="5" borderId="1" applyAlignment="1" pivotButton="0" quotePrefix="0" xfId="0">
      <alignment horizontal="center" vertical="center"/>
    </xf>
    <xf numFmtId="0" fontId="0" fillId="5" borderId="1" applyAlignment="1" pivotButton="0" quotePrefix="0" xfId="0">
      <alignment horizontal="center" vertical="center"/>
    </xf>
    <xf numFmtId="0" fontId="0" fillId="5" borderId="1" applyAlignment="1" pivotButton="0" quotePrefix="0" xfId="0">
      <alignment horizontal="left" vertical="center" wrapText="1"/>
    </xf>
    <xf numFmtId="166" fontId="0" fillId="5" borderId="1" applyAlignment="1" pivotButton="0" quotePrefix="0" xfId="0">
      <alignment horizontal="right" vertical="center"/>
    </xf>
    <xf numFmtId="9" fontId="0" fillId="5" borderId="1" applyAlignment="1" pivotButton="0" quotePrefix="0" xfId="0">
      <alignment horizontal="center" vertical="center"/>
    </xf>
    <xf numFmtId="166" fontId="0" fillId="4" borderId="1" applyAlignment="1" pivotButton="0" quotePrefix="0" xfId="0">
      <alignment horizontal="right" vertical="center"/>
    </xf>
    <xf numFmtId="0" fontId="0" fillId="0" borderId="1" applyAlignment="1" pivotButton="0" quotePrefix="0" xfId="0">
      <alignment horizontal="center" vertical="center"/>
    </xf>
    <xf numFmtId="166" fontId="0" fillId="0" borderId="1" applyAlignment="1" pivotButton="0" quotePrefix="0" xfId="0">
      <alignment horizontal="right" vertical="center"/>
    </xf>
    <xf numFmtId="0" fontId="3" fillId="4" borderId="1" pivotButton="0" quotePrefix="0" xfId="0"/>
    <xf numFmtId="1" fontId="2" fillId="2" borderId="1" applyAlignment="1" pivotButton="0" quotePrefix="0" xfId="0">
      <alignment horizontal="right" vertical="center"/>
    </xf>
    <xf numFmtId="0" fontId="5" fillId="8" borderId="1" pivotButton="0" quotePrefix="0" xfId="0"/>
    <xf numFmtId="0" fontId="0" fillId="8" borderId="1" pivotButton="0" quotePrefix="0" xfId="0"/>
    <xf numFmtId="0" fontId="3" fillId="6" borderId="1" pivotButton="0" quotePrefix="0" xfId="0"/>
    <xf numFmtId="0" fontId="2" fillId="3" borderId="1" pivotButton="0" quotePrefix="0" xfId="0"/>
    <xf numFmtId="0" fontId="0" fillId="4" borderId="1" pivotButton="0" quotePrefix="0" xfId="0"/>
    <xf numFmtId="9" fontId="2" fillId="2" borderId="1" applyAlignment="1" pivotButton="0" quotePrefix="0" xfId="0">
      <alignment horizontal="right" vertical="center"/>
    </xf>
    <xf numFmtId="0" fontId="0" fillId="0" borderId="1" pivotButton="0" quotePrefix="0" xfId="0"/>
    <xf numFmtId="166" fontId="2" fillId="2" borderId="1" applyAlignment="1" pivotButton="0" quotePrefix="0" xfId="0">
      <alignment horizontal="right" vertical="center"/>
    </xf>
    <xf numFmtId="1" fontId="4" fillId="7" borderId="1" applyAlignment="1" pivotButton="0" quotePrefix="0" xfId="0">
      <alignment horizontal="right" vertical="center"/>
    </xf>
    <xf numFmtId="0" fontId="5" fillId="8" borderId="0" pivotButton="0" quotePrefix="0" xfId="0"/>
    <xf numFmtId="0" fontId="0" fillId="8" borderId="0" pivotButton="0" quotePrefix="0" xfId="0"/>
    <xf numFmtId="0" fontId="3" fillId="4" borderId="1" applyAlignment="1" pivotButton="0" quotePrefix="0" xfId="0">
      <alignment vertical="top"/>
    </xf>
    <xf numFmtId="0" fontId="0" fillId="4" borderId="1" applyAlignment="1" pivotButton="0" quotePrefix="0" xfId="0">
      <alignment horizontal="left" vertical="top" wrapText="1"/>
    </xf>
    <xf numFmtId="0" fontId="3" fillId="0" borderId="1" applyAlignment="1" pivotButton="0" quotePrefix="0" xfId="0">
      <alignment vertical="top"/>
    </xf>
    <xf numFmtId="0" fontId="0" fillId="0" borderId="1" applyAlignment="1" pivotButton="0" quotePrefix="0" xfId="0">
      <alignment horizontal="left" vertical="top" wrapText="1"/>
    </xf>
  </cellXfs>
  <cellStyles count="1">
    <cellStyle name="Normal" xfId="0" builtinId="0" hidden="0"/>
  </cellStyles>
  <dxfs count="3">
    <dxf>
      <font>
        <b val="1"/>
        <color rgb="00DC2626"/>
      </font>
      <fill>
        <patternFill patternType="solid">
          <fgColor rgb="00FEE2E2"/>
        </patternFill>
      </fill>
    </dxf>
    <dxf>
      <font>
        <b val="1"/>
        <color rgb="0016A34A"/>
      </font>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Répartition des prospects par statut</a:t>
            </a:r>
          </a:p>
        </rich>
      </tx>
    </title>
    <plotArea>
      <doughnutChart>
        <varyColors val="1"/>
        <ser>
          <idx val="0"/>
          <order val="0"/>
          <tx>
            <strRef>
              <f>'Tableau de bord'!E4</f>
            </strRef>
          </tx>
          <spPr>
            <a:ln xmlns:a="http://schemas.openxmlformats.org/drawingml/2006/main">
              <a:prstDash val="solid"/>
            </a:ln>
          </spPr>
          <cat>
            <numRef>
              <f>'Tableau de bord'!$D$5:$D$11</f>
            </numRef>
          </cat>
          <val>
            <numRef>
              <f>'Tableau de bord'!$E$5:$E$11</f>
            </numRef>
          </val>
        </ser>
        <dLbls>
          <showVal val="1"/>
        </dLbls>
        <firstSliceAng val="0"/>
        <holeSize val="10"/>
      </doughnut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Montant potentiel HT par commercial</a:t>
            </a:r>
          </a:p>
        </rich>
      </tx>
    </title>
    <plotArea>
      <barChart>
        <barDir val="col"/>
        <grouping val="clustered"/>
        <ser>
          <idx val="0"/>
          <order val="0"/>
          <tx>
            <strRef>
              <f>'Tableau de bord'!F15</f>
            </strRef>
          </tx>
          <spPr>
            <a:solidFill xmlns:a="http://schemas.openxmlformats.org/drawingml/2006/main">
              <a:srgbClr val="E11D48"/>
            </a:solidFill>
            <a:ln xmlns:a="http://schemas.openxmlformats.org/drawingml/2006/main">
              <a:prstDash val="solid"/>
            </a:ln>
          </spPr>
          <cat>
            <numRef>
              <f>'Tableau de bord'!$D$16:$D$24</f>
            </numRef>
          </cat>
          <val>
            <numRef>
              <f>'Tableau de bord'!$F$16:$F$24</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numFmt formatCode="#\ ##0\ &quot;€&quot;" sourceLinked="0"/>
        <majorTickMark val="none"/>
        <minorTickMark val="none"/>
        <crossAx val="10"/>
      </valAx>
    </plotArea>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Nombre de prospects par source</a:t>
            </a:r>
          </a:p>
        </rich>
      </tx>
    </title>
    <plotArea>
      <barChart>
        <barDir val="col"/>
        <grouping val="clustered"/>
        <ser>
          <idx val="0"/>
          <order val="0"/>
          <tx>
            <strRef>
              <f>'Tableau de bord'!E28</f>
            </strRef>
          </tx>
          <spPr>
            <a:solidFill xmlns:a="http://schemas.openxmlformats.org/drawingml/2006/main">
              <a:srgbClr val="0891B2"/>
            </a:solidFill>
            <a:ln xmlns:a="http://schemas.openxmlformats.org/drawingml/2006/main">
              <a:prstDash val="solid"/>
            </a:ln>
          </spPr>
          <cat>
            <numRef>
              <f>'Tableau de bord'!$D$29:$D$34</f>
            </numRef>
          </cat>
          <val>
            <numRef>
              <f>'Tableau de bord'!$E$29:$E$34</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7</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576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7</col>
      <colOff>0</colOff>
      <row>36</row>
      <rowOff>0</rowOff>
    </from>
    <ext cx="576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1"/>
  <sheetViews>
    <sheetView workbookViewId="0">
      <pane ySplit="2" topLeftCell="A3" activePane="bottomLeft" state="frozen"/>
      <selection pane="bottomLeft" activeCell="A1" sqref="A1"/>
    </sheetView>
  </sheetViews>
  <sheetFormatPr baseColWidth="8" defaultRowHeight="15"/>
  <cols>
    <col width="10" customWidth="1" min="1" max="1"/>
    <col width="12" customWidth="1" min="2" max="2"/>
    <col width="11" customWidth="1" min="3" max="3"/>
    <col width="24" customWidth="1" min="4" max="4"/>
    <col width="16" customWidth="1" min="5" max="5"/>
    <col width="12" customWidth="1" min="6" max="6"/>
    <col width="16" customWidth="1" min="7" max="7"/>
    <col width="16" customWidth="1" min="8" max="8"/>
    <col width="28" customWidth="1" min="9" max="9"/>
    <col width="20" customWidth="1" min="10" max="10"/>
    <col width="18" customWidth="1" min="11" max="11"/>
    <col width="13" customWidth="1" min="12" max="12"/>
    <col width="14" customWidth="1" min="13" max="13"/>
    <col width="10" customWidth="1" min="14" max="14"/>
    <col width="16" customWidth="1" min="15" max="15"/>
    <col width="12" customWidth="1" min="16" max="16"/>
    <col width="16" customWidth="1" min="17" max="17"/>
    <col width="15" customWidth="1" min="18" max="18"/>
    <col width="40" customWidth="1" min="19" max="19"/>
    <col width="12" customWidth="1" min="20" max="20"/>
  </cols>
  <sheetData>
    <row r="1" ht="26" customHeight="1">
      <c r="A1" s="1" t="inlineStr">
        <is>
          <t>Tableau de suivi de prospection — 2026</t>
        </is>
      </c>
    </row>
    <row r="2" ht="32" customHeight="1">
      <c r="A2" s="2" t="inlineStr">
        <is>
          <t>ID prospect</t>
        </is>
      </c>
      <c r="B2" s="2" t="inlineStr">
        <is>
          <t>Date d'ajout</t>
        </is>
      </c>
      <c r="C2" s="2" t="inlineStr">
        <is>
          <t>Commercial</t>
        </is>
      </c>
      <c r="D2" s="2" t="inlineStr">
        <is>
          <t>Société</t>
        </is>
      </c>
      <c r="E2" s="2" t="inlineStr">
        <is>
          <t>Contact</t>
        </is>
      </c>
      <c r="F2" s="2" t="inlineStr">
        <is>
          <t>Ville</t>
        </is>
      </c>
      <c r="G2" s="2" t="inlineStr">
        <is>
          <t>Secteur d'activité</t>
        </is>
      </c>
      <c r="H2" s="2" t="inlineStr">
        <is>
          <t>Téléphone</t>
        </is>
      </c>
      <c r="I2" s="2" t="inlineStr">
        <is>
          <t>Adresse e-mail</t>
        </is>
      </c>
      <c r="J2" s="2" t="inlineStr">
        <is>
          <t>Source</t>
        </is>
      </c>
      <c r="K2" s="2" t="inlineStr">
        <is>
          <t>Statut</t>
        </is>
      </c>
      <c r="L2" s="2" t="inlineStr">
        <is>
          <t>Dernier contact</t>
        </is>
      </c>
      <c r="M2" s="2" t="inlineStr">
        <is>
          <t>Prochaine relance</t>
        </is>
      </c>
      <c r="N2" s="2" t="inlineStr">
        <is>
          <t>Nombre de relances</t>
        </is>
      </c>
      <c r="O2" s="2" t="inlineStr">
        <is>
          <t>Montant potentiel HT</t>
        </is>
      </c>
      <c r="P2" s="2" t="inlineStr">
        <is>
          <t>Probabilité (%)</t>
        </is>
      </c>
      <c r="Q2" s="2" t="inlineStr">
        <is>
          <t>Valeur pondérée HT</t>
        </is>
      </c>
      <c r="R2" s="2" t="inlineStr">
        <is>
          <t>Date de décision prévue</t>
        </is>
      </c>
      <c r="S2" s="2" t="inlineStr">
        <is>
          <t>Commentaires</t>
        </is>
      </c>
      <c r="T2" s="2" t="inlineStr">
        <is>
          <t>Alerte relance</t>
        </is>
      </c>
    </row>
    <row r="3">
      <c r="A3" s="3" t="n">
        <v>1</v>
      </c>
      <c r="B3" s="4" t="n">
        <v>46056</v>
      </c>
      <c r="C3" s="5" t="inlineStr">
        <is>
          <t>Camille</t>
        </is>
      </c>
      <c r="D3" s="6" t="inlineStr">
        <is>
          <t>Conseil &amp; Associés</t>
        </is>
      </c>
      <c r="E3" s="6" t="inlineStr">
        <is>
          <t>Sophie Bernard</t>
        </is>
      </c>
      <c r="F3" s="5" t="inlineStr">
        <is>
          <t>Paris</t>
        </is>
      </c>
      <c r="G3" s="5" t="inlineStr">
        <is>
          <t>Conseil</t>
        </is>
      </c>
      <c r="H3" s="6" t="inlineStr">
        <is>
          <t>01 45 67 89 10</t>
        </is>
      </c>
      <c r="I3" s="6" t="inlineStr">
        <is>
          <t>s.bernard@conseil-associes.fr</t>
        </is>
      </c>
      <c r="J3" s="5" t="inlineStr">
        <is>
          <t>Salon professionnel</t>
        </is>
      </c>
      <c r="K3" s="5" t="inlineStr">
        <is>
          <t>Proposition envoyée</t>
        </is>
      </c>
      <c r="L3" s="4" t="n">
        <v>46217</v>
      </c>
      <c r="M3" s="4" t="n">
        <v>46239</v>
      </c>
      <c r="N3" s="5" t="n">
        <v>2</v>
      </c>
      <c r="O3" s="7" t="n">
        <v>8500</v>
      </c>
      <c r="P3" s="8" t="n">
        <v>0.7</v>
      </c>
      <c r="Q3" s="9">
        <f>O3*P3</f>
        <v/>
      </c>
      <c r="R3" s="4" t="n">
        <v>46262</v>
      </c>
      <c r="S3" s="6" t="inlineStr">
        <is>
          <t>Proposition envoyée le 14/07, en attente de retour.</t>
        </is>
      </c>
      <c r="T3" s="3">
        <f>IF(AND(M3&lt;&gt;"",M3&lt;=TODAY(),K3&lt;&gt;"Gagné",K3&lt;&gt;"Perdu"),"À relancer","À jour")</f>
        <v/>
      </c>
    </row>
    <row r="4">
      <c r="A4" s="10" t="n">
        <v>2</v>
      </c>
      <c r="B4" s="4" t="n">
        <v>46091</v>
      </c>
      <c r="C4" s="5" t="inlineStr">
        <is>
          <t>Julien</t>
        </is>
      </c>
      <c r="D4" s="6" t="inlineStr">
        <is>
          <t>InnoTech Solutions</t>
        </is>
      </c>
      <c r="E4" s="6" t="inlineStr">
        <is>
          <t>Marc Dubois</t>
        </is>
      </c>
      <c r="F4" s="5" t="inlineStr">
        <is>
          <t>Lyon</t>
        </is>
      </c>
      <c r="G4" s="5" t="inlineStr">
        <is>
          <t>Informatique</t>
        </is>
      </c>
      <c r="H4" s="6" t="inlineStr">
        <is>
          <t>04 78 12 34 56</t>
        </is>
      </c>
      <c r="I4" s="6" t="inlineStr">
        <is>
          <t>m.dubois@innotech.fr</t>
        </is>
      </c>
      <c r="J4" s="5" t="inlineStr">
        <is>
          <t>Recommandation</t>
        </is>
      </c>
      <c r="K4" s="5" t="inlineStr">
        <is>
          <t>Rendez-vous planifié</t>
        </is>
      </c>
      <c r="L4" s="4" t="n">
        <v>46225</v>
      </c>
      <c r="M4" s="4" t="n">
        <v>46246</v>
      </c>
      <c r="N4" s="5" t="n">
        <v>1</v>
      </c>
      <c r="O4" s="7" t="n">
        <v>12000</v>
      </c>
      <c r="P4" s="8" t="n">
        <v>0.5</v>
      </c>
      <c r="Q4" s="11">
        <f>O4*P4</f>
        <v/>
      </c>
      <c r="R4" s="4" t="n">
        <v>46275</v>
      </c>
      <c r="S4" s="6" t="inlineStr">
        <is>
          <t>RDV prévu le 12/08 avec le directeur technique.</t>
        </is>
      </c>
      <c r="T4" s="10">
        <f>IF(AND(M4&lt;&gt;"",M4&lt;=TODAY(),K4&lt;&gt;"Gagné",K4&lt;&gt;"Perdu"),"À relancer","À jour")</f>
        <v/>
      </c>
    </row>
    <row r="5">
      <c r="A5" s="3" t="n">
        <v>3</v>
      </c>
      <c r="B5" s="4" t="n">
        <v>46106</v>
      </c>
      <c r="C5" s="5" t="inlineStr">
        <is>
          <t>Émilie</t>
        </is>
      </c>
      <c r="D5" s="6" t="inlineStr">
        <is>
          <t>Habitat Sud Immobilier</t>
        </is>
      </c>
      <c r="E5" s="6" t="inlineStr">
        <is>
          <t>Claire Moreau</t>
        </is>
      </c>
      <c r="F5" s="5" t="inlineStr">
        <is>
          <t>Marseille</t>
        </is>
      </c>
      <c r="G5" s="5" t="inlineStr">
        <is>
          <t>Immobilier</t>
        </is>
      </c>
      <c r="H5" s="6" t="inlineStr">
        <is>
          <t>04 91 22 33 44</t>
        </is>
      </c>
      <c r="I5" s="6" t="inlineStr">
        <is>
          <t>c.moreau@habitat-sud.fr</t>
        </is>
      </c>
      <c r="J5" s="5" t="inlineStr">
        <is>
          <t>Prospection téléphonique</t>
        </is>
      </c>
      <c r="K5" s="5" t="inlineStr">
        <is>
          <t>Contacté</t>
        </is>
      </c>
      <c r="L5" s="4" t="n">
        <v>46232</v>
      </c>
      <c r="M5" s="4" t="n">
        <v>46236</v>
      </c>
      <c r="N5" s="5" t="n">
        <v>1</v>
      </c>
      <c r="O5" s="7" t="n">
        <v>6800</v>
      </c>
      <c r="P5" s="8" t="n">
        <v>0.25</v>
      </c>
      <c r="Q5" s="9">
        <f>O5*P5</f>
        <v/>
      </c>
      <c r="R5" s="4" t="n">
        <v>46285</v>
      </c>
      <c r="S5" s="6" t="inlineStr">
        <is>
          <t>Premier échange positif, besoin à qualifier.</t>
        </is>
      </c>
      <c r="T5" s="3">
        <f>IF(AND(M5&lt;&gt;"",M5&lt;=TODAY(),K5&lt;&gt;"Gagné",K5&lt;&gt;"Perdu"),"À relancer","À jour")</f>
        <v/>
      </c>
    </row>
    <row r="6">
      <c r="A6" s="10" t="n">
        <v>4</v>
      </c>
      <c r="B6" s="4" t="n">
        <v>46120</v>
      </c>
      <c r="C6" s="5" t="inlineStr">
        <is>
          <t>Lucas</t>
        </is>
      </c>
      <c r="D6" s="6" t="inlineStr">
        <is>
          <t>BâtiPro Construction</t>
        </is>
      </c>
      <c r="E6" s="6" t="inlineStr">
        <is>
          <t>Antoine Lefèvre</t>
        </is>
      </c>
      <c r="F6" s="5" t="inlineStr">
        <is>
          <t>Toulouse</t>
        </is>
      </c>
      <c r="G6" s="5" t="inlineStr">
        <is>
          <t>Bâtiment</t>
        </is>
      </c>
      <c r="H6" s="6" t="inlineStr">
        <is>
          <t>05 61 44 55 66</t>
        </is>
      </c>
      <c r="I6" s="6" t="inlineStr">
        <is>
          <t>a.lefevre@batipro.fr</t>
        </is>
      </c>
      <c r="J6" s="5" t="inlineStr">
        <is>
          <t>Site web</t>
        </is>
      </c>
      <c r="K6" s="5" t="inlineStr">
        <is>
          <t>Nouveau</t>
        </is>
      </c>
      <c r="L6" s="4" t="n">
        <v>46233</v>
      </c>
      <c r="M6" s="4" t="n">
        <v>46241</v>
      </c>
      <c r="N6" s="5" t="n">
        <v>0</v>
      </c>
      <c r="O6" s="7" t="n">
        <v>15500</v>
      </c>
      <c r="P6" s="8" t="n">
        <v>0.1</v>
      </c>
      <c r="Q6" s="11">
        <f>O6*P6</f>
        <v/>
      </c>
      <c r="R6" s="4" t="n">
        <v>46300</v>
      </c>
      <c r="S6" s="6" t="inlineStr">
        <is>
          <t>Demande entrante via le formulaire du site.</t>
        </is>
      </c>
      <c r="T6" s="10">
        <f>IF(AND(M6&lt;&gt;"",M6&lt;=TODAY(),K6&lt;&gt;"Gagné",K6&lt;&gt;"Perdu"),"À relancer","À jour")</f>
        <v/>
      </c>
    </row>
    <row r="7">
      <c r="A7" s="3" t="n">
        <v>5</v>
      </c>
      <c r="B7" s="4" t="n">
        <v>46130</v>
      </c>
      <c r="C7" s="5" t="inlineStr">
        <is>
          <t>Chloé</t>
        </is>
      </c>
      <c r="D7" s="6" t="inlineStr">
        <is>
          <t>FormaPlus</t>
        </is>
      </c>
      <c r="E7" s="6" t="inlineStr">
        <is>
          <t>Julie Petit</t>
        </is>
      </c>
      <c r="F7" s="5" t="inlineStr">
        <is>
          <t>Bordeaux</t>
        </is>
      </c>
      <c r="G7" s="5" t="inlineStr">
        <is>
          <t>Formation</t>
        </is>
      </c>
      <c r="H7" s="6" t="inlineStr">
        <is>
          <t>05 56 77 88 99</t>
        </is>
      </c>
      <c r="I7" s="6" t="inlineStr">
        <is>
          <t>j.petit@formaplus.fr</t>
        </is>
      </c>
      <c r="J7" s="5" t="inlineStr">
        <is>
          <t>LinkedIn</t>
        </is>
      </c>
      <c r="K7" s="5" t="inlineStr">
        <is>
          <t>Gagné</t>
        </is>
      </c>
      <c r="L7" s="4" t="n">
        <v>46221</v>
      </c>
      <c r="M7" s="4" t="n"/>
      <c r="N7" s="5" t="n">
        <v>3</v>
      </c>
      <c r="O7" s="7" t="n">
        <v>4200</v>
      </c>
      <c r="P7" s="8" t="n">
        <v>1</v>
      </c>
      <c r="Q7" s="9">
        <f>O7*P7</f>
        <v/>
      </c>
      <c r="R7" s="4" t="n">
        <v>46221</v>
      </c>
      <c r="S7" s="6" t="inlineStr">
        <is>
          <t>Contrat signé le 18/07/2026.</t>
        </is>
      </c>
      <c r="T7" s="3">
        <f>IF(AND(M7&lt;&gt;"",M7&lt;=TODAY(),K7&lt;&gt;"Gagné",K7&lt;&gt;"Perdu"),"À relancer","À jour")</f>
        <v/>
      </c>
    </row>
    <row r="8">
      <c r="A8" s="10" t="n">
        <v>6</v>
      </c>
      <c r="B8" s="4" t="n">
        <v>46148</v>
      </c>
      <c r="C8" s="5" t="inlineStr">
        <is>
          <t>Thomas</t>
        </is>
      </c>
      <c r="D8" s="6" t="inlineStr">
        <is>
          <t>Nord Industries</t>
        </is>
      </c>
      <c r="E8" s="6" t="inlineStr">
        <is>
          <t>Pierre Gauthier</t>
        </is>
      </c>
      <c r="F8" s="5" t="inlineStr">
        <is>
          <t>Lille</t>
        </is>
      </c>
      <c r="G8" s="5" t="inlineStr">
        <is>
          <t>Industrie</t>
        </is>
      </c>
      <c r="H8" s="6" t="inlineStr">
        <is>
          <t>03 20 11 22 33</t>
        </is>
      </c>
      <c r="I8" s="6" t="inlineStr">
        <is>
          <t>p.gauthier@nord-industries.fr</t>
        </is>
      </c>
      <c r="J8" s="5" t="inlineStr">
        <is>
          <t>Salon professionnel</t>
        </is>
      </c>
      <c r="K8" s="5" t="inlineStr">
        <is>
          <t>Perdu</t>
        </is>
      </c>
      <c r="L8" s="4" t="n">
        <v>46198</v>
      </c>
      <c r="M8" s="4" t="n"/>
      <c r="N8" s="5" t="n">
        <v>2</v>
      </c>
      <c r="O8" s="7" t="n">
        <v>9750</v>
      </c>
      <c r="P8" s="8" t="n">
        <v>0</v>
      </c>
      <c r="Q8" s="11">
        <f>O8*P8</f>
        <v/>
      </c>
      <c r="R8" s="4" t="n">
        <v>46203</v>
      </c>
      <c r="S8" s="6" t="inlineStr">
        <is>
          <t>Budget gelé, à recontacter en 2027.</t>
        </is>
      </c>
      <c r="T8" s="10">
        <f>IF(AND(M8&lt;&gt;"",M8&lt;=TODAY(),K8&lt;&gt;"Gagné",K8&lt;&gt;"Perdu"),"À relancer","À jour")</f>
        <v/>
      </c>
    </row>
    <row r="9">
      <c r="A9" s="3" t="n">
        <v>7</v>
      </c>
      <c r="B9" s="4" t="n">
        <v>46162</v>
      </c>
      <c r="C9" s="5" t="inlineStr">
        <is>
          <t>Léa</t>
        </is>
      </c>
      <c r="D9" s="6" t="inlineStr">
        <is>
          <t>ShopLigne</t>
        </is>
      </c>
      <c r="E9" s="6" t="inlineStr">
        <is>
          <t>Marie Lambert</t>
        </is>
      </c>
      <c r="F9" s="5" t="inlineStr">
        <is>
          <t>Nantes</t>
        </is>
      </c>
      <c r="G9" s="5" t="inlineStr">
        <is>
          <t>E-commerce</t>
        </is>
      </c>
      <c r="H9" s="6" t="inlineStr">
        <is>
          <t>02 40 55 66 77</t>
        </is>
      </c>
      <c r="I9" s="6" t="inlineStr">
        <is>
          <t>m.lambert@shopligne.fr</t>
        </is>
      </c>
      <c r="J9" s="5" t="inlineStr">
        <is>
          <t>Prospection téléphonique</t>
        </is>
      </c>
      <c r="K9" s="5" t="inlineStr">
        <is>
          <t>Relance à faire</t>
        </is>
      </c>
      <c r="L9" s="4" t="n">
        <v>46213</v>
      </c>
      <c r="M9" s="4" t="n">
        <v>46231</v>
      </c>
      <c r="N9" s="5" t="n">
        <v>2</v>
      </c>
      <c r="O9" s="7" t="n">
        <v>7300</v>
      </c>
      <c r="P9" s="8" t="n">
        <v>0.25</v>
      </c>
      <c r="Q9" s="9">
        <f>O9*P9</f>
        <v/>
      </c>
      <c r="R9" s="4" t="n">
        <v>46280</v>
      </c>
      <c r="S9" s="6" t="inlineStr">
        <is>
          <t>Intéressée mais déborde, relancer fin juillet.</t>
        </is>
      </c>
      <c r="T9" s="3">
        <f>IF(AND(M9&lt;&gt;"",M9&lt;=TODAY(),K9&lt;&gt;"Gagné",K9&lt;&gt;"Perdu"),"À relancer","À jour")</f>
        <v/>
      </c>
    </row>
    <row r="10">
      <c r="A10" s="10" t="n">
        <v>8</v>
      </c>
      <c r="B10" s="4" t="n">
        <v>46185</v>
      </c>
      <c r="C10" s="5" t="inlineStr">
        <is>
          <t>Nicolas</t>
        </is>
      </c>
      <c r="D10" s="6" t="inlineStr">
        <is>
          <t>TransAlsace Logistique</t>
        </is>
      </c>
      <c r="E10" s="6" t="inlineStr">
        <is>
          <t>Hugo Martin</t>
        </is>
      </c>
      <c r="F10" s="5" t="inlineStr">
        <is>
          <t>Strasbourg</t>
        </is>
      </c>
      <c r="G10" s="5" t="inlineStr">
        <is>
          <t>Transport</t>
        </is>
      </c>
      <c r="H10" s="6" t="inlineStr">
        <is>
          <t>03 88 99 00 11</t>
        </is>
      </c>
      <c r="I10" s="6" t="inlineStr">
        <is>
          <t>h.martin@transalsace.fr</t>
        </is>
      </c>
      <c r="J10" s="5" t="inlineStr">
        <is>
          <t>Recommandation</t>
        </is>
      </c>
      <c r="K10" s="5" t="inlineStr">
        <is>
          <t>Proposition envoyée</t>
        </is>
      </c>
      <c r="L10" s="4" t="n">
        <v>46228</v>
      </c>
      <c r="M10" s="4" t="n">
        <v>46242</v>
      </c>
      <c r="N10" s="5" t="n">
        <v>2</v>
      </c>
      <c r="O10" s="7" t="n">
        <v>18000</v>
      </c>
      <c r="P10" s="8" t="n">
        <v>0.7</v>
      </c>
      <c r="Q10" s="11">
        <f>O10*P10</f>
        <v/>
      </c>
      <c r="R10" s="4" t="n">
        <v>46256</v>
      </c>
      <c r="S10" s="6" t="inlineStr">
        <is>
          <t>Devis envoyé, décision attendue fin août.</t>
        </is>
      </c>
      <c r="T10" s="10">
        <f>IF(AND(M10&lt;&gt;"",M10&lt;=TODAY(),K10&lt;&gt;"Gagné",K10&lt;&gt;"Perdu"),"À relancer","À jour")</f>
        <v/>
      </c>
    </row>
    <row r="11">
      <c r="A11" s="3" t="n">
        <v>9</v>
      </c>
      <c r="B11" s="4" t="n">
        <v>46205</v>
      </c>
      <c r="C11" s="5" t="inlineStr">
        <is>
          <t>Manon</t>
        </is>
      </c>
      <c r="D11" s="6" t="inlineStr">
        <is>
          <t>MediCare Azur</t>
        </is>
      </c>
      <c r="E11" s="6" t="inlineStr">
        <is>
          <t>Laura Rousseau</t>
        </is>
      </c>
      <c r="F11" s="5" t="inlineStr">
        <is>
          <t>Nice</t>
        </is>
      </c>
      <c r="G11" s="5" t="inlineStr">
        <is>
          <t>Santé</t>
        </is>
      </c>
      <c r="H11" s="6" t="inlineStr">
        <is>
          <t>04 93 12 13 14</t>
        </is>
      </c>
      <c r="I11" s="6" t="inlineStr">
        <is>
          <t>l.rousseau@medicare-azur.fr</t>
        </is>
      </c>
      <c r="J11" s="5" t="inlineStr">
        <is>
          <t>Site web</t>
        </is>
      </c>
      <c r="K11" s="5" t="inlineStr">
        <is>
          <t>Contacté</t>
        </is>
      </c>
      <c r="L11" s="4" t="n">
        <v>46229</v>
      </c>
      <c r="M11" s="4" t="n">
        <v>46238</v>
      </c>
      <c r="N11" s="5" t="n">
        <v>1</v>
      </c>
      <c r="O11" s="7" t="n">
        <v>5600</v>
      </c>
      <c r="P11" s="8" t="n">
        <v>0.25</v>
      </c>
      <c r="Q11" s="9">
        <f>O11*P11</f>
        <v/>
      </c>
      <c r="R11" s="4" t="n">
        <v>46295</v>
      </c>
      <c r="S11" s="6" t="inlineStr">
        <is>
          <t>Demande de documentation envoyée.</t>
        </is>
      </c>
      <c r="T11" s="3">
        <f>IF(AND(M11&lt;&gt;"",M11&lt;=TODAY(),K11&lt;&gt;"Gagné",K11&lt;&gt;"Perdu"),"À relancer","À jour")</f>
        <v/>
      </c>
    </row>
  </sheetData>
  <autoFilter ref="A2:T11"/>
  <mergeCells count="1">
    <mergeCell ref="A1:T1"/>
  </mergeCells>
  <conditionalFormatting sqref="T3:T11">
    <cfRule type="expression" priority="1" dxfId="0" stopIfTrue="1">
      <formula>$T3="À relancer"</formula>
    </cfRule>
    <cfRule type="expression" priority="2" dxfId="1" stopIfTrue="1">
      <formula>$T3="À jour"</formula>
    </cfRule>
  </conditionalFormatting>
  <conditionalFormatting sqref="K3:K11">
    <cfRule type="expression" priority="3" dxfId="1" stopIfTrue="1">
      <formula>$K3="Gagné"</formula>
    </cfRule>
    <cfRule type="expression" priority="4" dxfId="2" stopIfTrue="1">
      <formula>$K3="Perdu"</formula>
    </cfRule>
  </conditionalFormatting>
  <dataValidations count="3">
    <dataValidation sqref="C3:C50" showErrorMessage="1" showInputMessage="1" allowBlank="1" type="list">
      <formula1>"Camille,Julien,Émilie,Lucas,Chloé,Thomas,Léa,Nicolas,Manon"</formula1>
    </dataValidation>
    <dataValidation sqref="J3:J50" showErrorMessage="1" showInputMessage="1" allowBlank="1" type="list">
      <formula1>"Salon professionnel,Recommandation,Prospection téléphonique,Site web,LinkedIn,Bouche-à-oreille"</formula1>
    </dataValidation>
    <dataValidation sqref="K3:K50" showErrorMessage="1" showInputMessage="1" allowBlank="1" type="list">
      <formula1>"Nouveau,Contacté,Relance à faire,Rendez-vous planifié,Proposition envoyée,Gagné,Perdu"</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cols>
    <col width="30" customWidth="1" min="1" max="1"/>
    <col width="20" customWidth="1" min="2" max="2"/>
    <col width="24" customWidth="1" min="4" max="4"/>
    <col width="13" customWidth="1" min="5" max="5"/>
    <col width="22" customWidth="1" min="6" max="6"/>
    <col width="2" customWidth="1" min="7" max="7"/>
  </cols>
  <sheetData>
    <row r="1" ht="26" customHeight="1">
      <c r="A1" s="1" t="inlineStr">
        <is>
          <t>Tableau de bord commercial — 2026</t>
        </is>
      </c>
    </row>
    <row r="3">
      <c r="A3" s="12" t="inlineStr">
        <is>
          <t>Prospects au total</t>
        </is>
      </c>
      <c r="B3" s="13">
        <f>COUNTA(Prospects!A3:A11)</f>
        <v/>
      </c>
      <c r="D3" s="14" t="inlineStr">
        <is>
          <t>Répartition par statut</t>
        </is>
      </c>
      <c r="E3" s="15" t="n"/>
    </row>
    <row r="4">
      <c r="A4" s="16" t="inlineStr">
        <is>
          <t>Prospects actifs</t>
        </is>
      </c>
      <c r="B4" s="13">
        <f>COUNTIF(Prospects!K3:K11,"&lt;&gt;Perdu")-COUNTIF(Prospects!K3:K11,"Gagné")</f>
        <v/>
      </c>
      <c r="D4" s="17" t="inlineStr">
        <is>
          <t>Statut</t>
        </is>
      </c>
      <c r="E4" s="17" t="inlineStr">
        <is>
          <t>Nombre</t>
        </is>
      </c>
    </row>
    <row r="5">
      <c r="A5" s="12" t="inlineStr">
        <is>
          <t>Opportunités gagnées</t>
        </is>
      </c>
      <c r="B5" s="13">
        <f>COUNTIF(Prospects!K3:K11,"Gagné")</f>
        <v/>
      </c>
      <c r="D5" s="18" t="inlineStr">
        <is>
          <t>Nouveau</t>
        </is>
      </c>
      <c r="E5" s="3">
        <f>COUNTIF(Prospects!K3:K11,"Nouveau")</f>
        <v/>
      </c>
    </row>
    <row r="6">
      <c r="A6" s="16" t="inlineStr">
        <is>
          <t>Taux de conversion</t>
        </is>
      </c>
      <c r="B6" s="19">
        <f>IFERROR(COUNTIF(Prospects!K3:K11,"Gagné")/COUNTA(Prospects!A3:A11),0)</f>
        <v/>
      </c>
      <c r="D6" s="20" t="inlineStr">
        <is>
          <t>Contacté</t>
        </is>
      </c>
      <c r="E6" s="10">
        <f>COUNTIF(Prospects!K3:K11,"Contacté")</f>
        <v/>
      </c>
    </row>
    <row r="7">
      <c r="A7" s="12" t="inlineStr">
        <is>
          <t>Montant potentiel total HT</t>
        </is>
      </c>
      <c r="B7" s="21">
        <f>SUM(Prospects!O3:O11)</f>
        <v/>
      </c>
      <c r="D7" s="18" t="inlineStr">
        <is>
          <t>Relance à faire</t>
        </is>
      </c>
      <c r="E7" s="3">
        <f>COUNTIF(Prospects!K3:K11,"Relance à faire")</f>
        <v/>
      </c>
    </row>
    <row r="8">
      <c r="A8" s="16" t="inlineStr">
        <is>
          <t>Valeur pondérée du pipeline</t>
        </is>
      </c>
      <c r="B8" s="21">
        <f>SUM(Prospects!Q3:Q11)</f>
        <v/>
      </c>
      <c r="D8" s="20" t="inlineStr">
        <is>
          <t>Rendez-vous planifié</t>
        </is>
      </c>
      <c r="E8" s="10">
        <f>COUNTIF(Prospects!K3:K11,"Rendez-vous planifié")</f>
        <v/>
      </c>
    </row>
    <row r="9">
      <c r="A9" s="12" t="inlineStr">
        <is>
          <t>Montant moyen par opportunité</t>
        </is>
      </c>
      <c r="B9" s="21">
        <f>IFERROR(AVERAGE(Prospects!O3:O11),0)</f>
        <v/>
      </c>
      <c r="D9" s="18" t="inlineStr">
        <is>
          <t>Proposition envoyée</t>
        </is>
      </c>
      <c r="E9" s="3">
        <f>COUNTIF(Prospects!K3:K11,"Proposition envoyée")</f>
        <v/>
      </c>
    </row>
    <row r="10">
      <c r="A10" s="16" t="inlineStr">
        <is>
          <t>Relances en retard</t>
        </is>
      </c>
      <c r="B10" s="22">
        <f>COUNTIF(Prospects!T3:T11,"À relancer")</f>
        <v/>
      </c>
      <c r="D10" s="20" t="inlineStr">
        <is>
          <t>Gagné</t>
        </is>
      </c>
      <c r="E10" s="10">
        <f>COUNTIF(Prospects!K3:K11,"Gagné")</f>
        <v/>
      </c>
    </row>
    <row r="11">
      <c r="D11" s="18" t="inlineStr">
        <is>
          <t>Perdu</t>
        </is>
      </c>
      <c r="E11" s="3">
        <f>COUNTIF(Prospects!K3:K11,"Perdu")</f>
        <v/>
      </c>
    </row>
    <row r="14">
      <c r="D14" s="23" t="inlineStr">
        <is>
          <t>Performance par commercial</t>
        </is>
      </c>
      <c r="E14" s="24" t="n"/>
      <c r="F14" s="24" t="n"/>
    </row>
    <row r="15">
      <c r="D15" s="17" t="inlineStr">
        <is>
          <t>Commercial</t>
        </is>
      </c>
      <c r="E15" s="17" t="inlineStr">
        <is>
          <t>Nb prospects</t>
        </is>
      </c>
      <c r="F15" s="17" t="inlineStr">
        <is>
          <t>Montant potentiel HT</t>
        </is>
      </c>
    </row>
    <row r="16">
      <c r="D16" s="18" t="inlineStr">
        <is>
          <t>Camille</t>
        </is>
      </c>
      <c r="E16" s="3">
        <f>COUNTIF(Prospects!C3:C11,"Camille")</f>
        <v/>
      </c>
      <c r="F16" s="9">
        <f>SUMIF(Prospects!C3:C11,"Camille",Prospects!O3:O11)</f>
        <v/>
      </c>
    </row>
    <row r="17">
      <c r="D17" s="20" t="inlineStr">
        <is>
          <t>Julien</t>
        </is>
      </c>
      <c r="E17" s="10">
        <f>COUNTIF(Prospects!C3:C11,"Julien")</f>
        <v/>
      </c>
      <c r="F17" s="11">
        <f>SUMIF(Prospects!C3:C11,"Julien",Prospects!O3:O11)</f>
        <v/>
      </c>
    </row>
    <row r="18">
      <c r="D18" s="18" t="inlineStr">
        <is>
          <t>Émilie</t>
        </is>
      </c>
      <c r="E18" s="3">
        <f>COUNTIF(Prospects!C3:C11,"Émilie")</f>
        <v/>
      </c>
      <c r="F18" s="9">
        <f>SUMIF(Prospects!C3:C11,"Émilie",Prospects!O3:O11)</f>
        <v/>
      </c>
    </row>
    <row r="19">
      <c r="D19" s="20" t="inlineStr">
        <is>
          <t>Lucas</t>
        </is>
      </c>
      <c r="E19" s="10">
        <f>COUNTIF(Prospects!C3:C11,"Lucas")</f>
        <v/>
      </c>
      <c r="F19" s="11">
        <f>SUMIF(Prospects!C3:C11,"Lucas",Prospects!O3:O11)</f>
        <v/>
      </c>
    </row>
    <row r="20">
      <c r="D20" s="18" t="inlineStr">
        <is>
          <t>Chloé</t>
        </is>
      </c>
      <c r="E20" s="3">
        <f>COUNTIF(Prospects!C3:C11,"Chloé")</f>
        <v/>
      </c>
      <c r="F20" s="9">
        <f>SUMIF(Prospects!C3:C11,"Chloé",Prospects!O3:O11)</f>
        <v/>
      </c>
    </row>
    <row r="21">
      <c r="D21" s="20" t="inlineStr">
        <is>
          <t>Thomas</t>
        </is>
      </c>
      <c r="E21" s="10">
        <f>COUNTIF(Prospects!C3:C11,"Thomas")</f>
        <v/>
      </c>
      <c r="F21" s="11">
        <f>SUMIF(Prospects!C3:C11,"Thomas",Prospects!O3:O11)</f>
        <v/>
      </c>
    </row>
    <row r="22">
      <c r="D22" s="18" t="inlineStr">
        <is>
          <t>Léa</t>
        </is>
      </c>
      <c r="E22" s="3">
        <f>COUNTIF(Prospects!C3:C11,"Léa")</f>
        <v/>
      </c>
      <c r="F22" s="9">
        <f>SUMIF(Prospects!C3:C11,"Léa",Prospects!O3:O11)</f>
        <v/>
      </c>
    </row>
    <row r="23">
      <c r="D23" s="20" t="inlineStr">
        <is>
          <t>Nicolas</t>
        </is>
      </c>
      <c r="E23" s="10">
        <f>COUNTIF(Prospects!C3:C11,"Nicolas")</f>
        <v/>
      </c>
      <c r="F23" s="11">
        <f>SUMIF(Prospects!C3:C11,"Nicolas",Prospects!O3:O11)</f>
        <v/>
      </c>
    </row>
    <row r="24">
      <c r="D24" s="18" t="inlineStr">
        <is>
          <t>Manon</t>
        </is>
      </c>
      <c r="E24" s="3">
        <f>COUNTIF(Prospects!C3:C11,"Manon")</f>
        <v/>
      </c>
      <c r="F24" s="9">
        <f>SUMIF(Prospects!C3:C11,"Manon",Prospects!O3:O11)</f>
        <v/>
      </c>
    </row>
    <row r="27">
      <c r="D27" s="23" t="inlineStr">
        <is>
          <t>Prospects par source</t>
        </is>
      </c>
      <c r="E27" s="24" t="n"/>
    </row>
    <row r="28">
      <c r="D28" s="17" t="inlineStr">
        <is>
          <t>Source</t>
        </is>
      </c>
      <c r="E28" s="17" t="inlineStr">
        <is>
          <t>Nombre</t>
        </is>
      </c>
    </row>
    <row r="29">
      <c r="D29" s="18" t="inlineStr">
        <is>
          <t>Salon professionnel</t>
        </is>
      </c>
      <c r="E29" s="3">
        <f>COUNTIF(Prospects!J3:J11,"Salon professionnel")</f>
        <v/>
      </c>
    </row>
    <row r="30">
      <c r="D30" s="20" t="inlineStr">
        <is>
          <t>Recommandation</t>
        </is>
      </c>
      <c r="E30" s="10">
        <f>COUNTIF(Prospects!J3:J11,"Recommandation")</f>
        <v/>
      </c>
    </row>
    <row r="31">
      <c r="D31" s="18" t="inlineStr">
        <is>
          <t>Prospection téléphonique</t>
        </is>
      </c>
      <c r="E31" s="3">
        <f>COUNTIF(Prospects!J3:J11,"Prospection téléphonique")</f>
        <v/>
      </c>
    </row>
    <row r="32">
      <c r="D32" s="20" t="inlineStr">
        <is>
          <t>Site web</t>
        </is>
      </c>
      <c r="E32" s="10">
        <f>COUNTIF(Prospects!J3:J11,"Site web")</f>
        <v/>
      </c>
    </row>
    <row r="33">
      <c r="D33" s="18" t="inlineStr">
        <is>
          <t>LinkedIn</t>
        </is>
      </c>
      <c r="E33" s="3">
        <f>COUNTIF(Prospects!J3:J11,"LinkedIn")</f>
        <v/>
      </c>
    </row>
    <row r="34">
      <c r="D34" s="20" t="inlineStr">
        <is>
          <t>Bouche-à-oreille</t>
        </is>
      </c>
      <c r="E34" s="10">
        <f>COUNTIF(Prospects!J3:J11,"Bouche-à-oreille")</f>
        <v/>
      </c>
    </row>
  </sheetData>
  <mergeCells count="1">
    <mergeCell ref="A1:H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22" customWidth="1" min="1" max="1"/>
    <col width="100" customWidth="1" min="2" max="2"/>
  </cols>
  <sheetData>
    <row r="1" ht="26" customHeight="1">
      <c r="A1" s="1" t="inlineStr">
        <is>
          <t>Mode d'emploi — Tableau de suivi de prospection</t>
        </is>
      </c>
    </row>
    <row r="3">
      <c r="A3" s="17" t="inlineStr">
        <is>
          <t>Thème</t>
        </is>
      </c>
      <c r="B3" s="17" t="inlineStr">
        <is>
          <t>Explication</t>
        </is>
      </c>
    </row>
    <row r="4" ht="60" customHeight="1">
      <c r="A4" s="25" t="inlineStr">
        <is>
          <t>Rôle des feuilles</t>
        </is>
      </c>
      <c r="B4" s="26" t="inlineStr">
        <is>
          <t>« Prospects » : table principale de suivi des prospects, relances et opportunités. « Tableau de bord » : indicateurs, synthèses par statut, par commercial et par source, avec graphiques. « Instructions » : cette page d'aide.</t>
        </is>
      </c>
    </row>
    <row r="5" ht="60" customHeight="1">
      <c r="A5" s="27" t="inlineStr">
        <is>
          <t>Cellules jaunes</t>
        </is>
      </c>
      <c r="B5" s="28" t="inlineStr">
        <is>
          <t>Les cellules à fond jaune pâle (#FFFBEB) sont à compléter ou à mettre à jour : coordonnées, statut, dates, montant potentiel, probabilité et commentaires. Les colonnes « Valeur pondérée HT » et « Alerte relance » sont calculées automatiquement.</t>
        </is>
      </c>
    </row>
    <row r="6" ht="60" customHeight="1">
      <c r="A6" s="25" t="inlineStr">
        <is>
          <t>Statuts commerciaux</t>
        </is>
      </c>
      <c r="B6" s="26" t="inlineStr">
        <is>
          <t>Utiliser uniquement : Nouveau, Contacté, Relance à faire, Rendez-vous planifié, Proposition envoyée, Gagné, Perdu. Une liste déroulante est disponible en colonne K.</t>
        </is>
      </c>
    </row>
    <row r="7" ht="60" customHeight="1">
      <c r="A7" s="27" t="inlineStr">
        <is>
          <t>Valeur pondérée HT</t>
        </is>
      </c>
      <c r="B7" s="28" t="inlineStr">
        <is>
          <t>Colonne Q = Montant potentiel HT × Probabilité (%). Elle représente le chiffre d'affaires espéré du pipeline en tenant compte des chances de conclure chaque opportunité.</t>
        </is>
      </c>
    </row>
    <row r="8" ht="60" customHeight="1">
      <c r="A8" s="25" t="inlineStr">
        <is>
          <t>Relance automatique</t>
        </is>
      </c>
      <c r="B8" s="26" t="inlineStr">
        <is>
          <t>Colonne T : « À relancer » s'affiche automatiquement si la date de prochaine relance est dépassée et que le statut n'est ni Gagné ni Perdu ; sinon « À jour ».</t>
        </is>
      </c>
    </row>
    <row r="9" ht="60" customHeight="1">
      <c r="A9" s="27" t="inlineStr">
        <is>
          <t>Format monétaire</t>
        </is>
      </c>
      <c r="B9" s="28" t="inlineStr">
        <is>
          <t>Tous les montants sont en euros hors taxe au format français : 1 234,56 €.</t>
        </is>
      </c>
    </row>
    <row r="10" ht="60" customHeight="1">
      <c r="A10" s="25" t="inlineStr">
        <is>
          <t>Format des dates</t>
        </is>
      </c>
      <c r="B10" s="26" t="inlineStr">
        <is>
          <t>Toutes les dates sont au format français JJ/MM/AAAA (exemple : 05/08/2026).</t>
        </is>
      </c>
    </row>
    <row r="11" ht="60" customHeight="1">
      <c r="A11" s="27" t="inlineStr">
        <is>
          <t>RGPD / CNIL</t>
        </is>
      </c>
      <c r="B11" s="28" t="inlineStr">
        <is>
          <t>Ne saisir que les données personnelles strictement nécessaires et autorisées (coordonnées professionnelles du contact). Informer les personnes concernées, limiter la durée de conservation et garantir les droits d'accès, de rectification et de suppression.</t>
        </is>
      </c>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2026-08-01T14:24:14Z</dcterms:created>
  <dcterms:modified xmlns:dcterms="http://purl.org/dc/terms/" xmlns:xsi="http://www.w3.org/2001/XMLSchema-instance" xsi:type="dcterms:W3CDTF">2026-08-01T14:24:14Z</dcterms:modified>
</cp:coreProperties>
</file>