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congés" sheetId="1" state="visible" r:id="rId1"/>
    <sheet xmlns:r="http://schemas.openxmlformats.org/officeDocument/2006/relationships" name="Demandes de congés" sheetId="2" state="visible" r:id="rId2"/>
    <sheet xmlns:r="http://schemas.openxmlformats.org/officeDocument/2006/relationships" name="Synthèse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"/>
  </numFmts>
  <fonts count="4">
    <font>
      <name val="Calibri"/>
      <family val="2"/>
      <color theme="1"/>
      <sz val="11"/>
      <scheme val="minor"/>
    </font>
    <font>
      <name val="Calibri"/>
      <b val="1"/>
      <color rgb="00E11D48"/>
      <sz val="16"/>
    </font>
    <font>
      <name val="Calibri"/>
      <b val="1"/>
      <color rgb="00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FFBEB"/>
      </patternFill>
    </fill>
    <fill>
      <patternFill patternType="solid">
        <fgColor rgb="00FDF0F3"/>
      </patternFill>
    </fill>
    <fill>
      <patternFill patternType="solid">
        <fgColor rgb="00BE123C"/>
      </patternFill>
    </fill>
    <fill>
      <patternFill patternType="solid">
        <fgColor rgb="000891B2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/>
    </xf>
    <xf numFmtId="164" fontId="0" fillId="0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9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165" fontId="0" fillId="0" borderId="1" applyAlignment="1" pivotButton="0" quotePrefix="0" xfId="0">
      <alignment horizontal="center" vertical="center" wrapText="1"/>
    </xf>
    <xf numFmtId="9" fontId="0" fillId="0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center" vertical="center" wrapText="1"/>
    </xf>
    <xf numFmtId="0" fontId="3" fillId="0" borderId="1" pivotButton="0" quotePrefix="0" xfId="0"/>
    <xf numFmtId="165" fontId="2" fillId="6" borderId="1" applyAlignment="1" pivotButton="0" quotePrefix="0" xfId="0">
      <alignment horizontal="center" vertical="center" wrapText="1"/>
    </xf>
    <xf numFmtId="0" fontId="2" fillId="2" borderId="0" pivotButton="0" quotePrefix="0" xfId="0"/>
    <xf numFmtId="0" fontId="0" fillId="0" borderId="1" pivotButton="0" quotePrefix="0" xfId="0"/>
    <xf numFmtId="165" fontId="0" fillId="0" borderId="1" pivotButton="0" quotePrefix="0" xfId="0"/>
    <xf numFmtId="0" fontId="2" fillId="6" borderId="1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2"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Congés pris par service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'Synthèse'!E4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'Synthèse'!$D$5:$D$10</f>
            </numRef>
          </cat>
          <val>
            <numRef>
              <f>'Synthèse'!$E$5:$E$10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Service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Jours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 de demandes</a:t>
            </a:r>
          </a:p>
        </rich>
      </tx>
    </title>
    <plotArea>
      <pieChart>
        <varyColors val="1"/>
        <ser>
          <idx val="0"/>
          <order val="0"/>
          <tx>
            <strRef>
              <f>'Synthèse'!H4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'Synthèse'!$G$5:$G$7</f>
            </numRef>
          </cat>
          <val>
            <numRef>
              <f>'Synthèse'!$H$5:$H$7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mensuelle des congés validés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'Synthèse'!B13</f>
            </strRef>
          </tx>
          <spPr>
            <a:solidFill xmlns:a="http://schemas.openxmlformats.org/drawingml/2006/main">
              <a:srgbClr val="E11D48"/>
            </a:solidFill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'Synthèse'!$A$14:$A$25</f>
            </numRef>
          </cat>
          <val>
            <numRef>
              <f>'Synthèse'!$B$14:$B$25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Jours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20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20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37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2" customWidth="1" min="3" max="3"/>
    <col width="13" customWidth="1" min="4" max="4"/>
    <col width="13" customWidth="1" min="5" max="5"/>
    <col width="14" customWidth="1" min="6" max="6"/>
    <col width="13" customWidth="1" min="7" max="7"/>
    <col width="14" customWidth="1" min="8" max="8"/>
    <col width="16" customWidth="1" min="9" max="9"/>
    <col width="12" customWidth="1" min="10" max="10"/>
    <col width="18" customWidth="1" min="11" max="11"/>
    <col width="13" customWidth="1" min="12" max="12"/>
    <col width="14" customWidth="1" min="13" max="13"/>
    <col width="14" customWidth="1" min="14" max="14"/>
    <col width="15" customWidth="1" min="15" max="15"/>
    <col width="22" customWidth="1" min="16" max="16"/>
  </cols>
  <sheetData>
    <row r="1" ht="26" customHeight="1">
      <c r="A1" s="1" t="inlineStr">
        <is>
          <t>TABLEAU DE SUIVI DES CONGÉS PAYÉS 2026</t>
        </is>
      </c>
    </row>
    <row r="2">
      <c r="A2" s="2" t="inlineStr">
        <is>
          <t>Matricule</t>
        </is>
      </c>
      <c r="B2" s="2" t="inlineStr">
        <is>
          <t>Nom</t>
        </is>
      </c>
      <c r="C2" s="2" t="inlineStr">
        <is>
          <t>Prénom</t>
        </is>
      </c>
      <c r="D2" s="2" t="inlineStr">
        <is>
          <t>Service</t>
        </is>
      </c>
      <c r="E2" s="2" t="inlineStr">
        <is>
          <t>Ville</t>
        </is>
      </c>
      <c r="F2" s="2" t="inlineStr">
        <is>
          <t>Type de contrat</t>
        </is>
      </c>
      <c r="G2" s="2" t="inlineStr">
        <is>
          <t>Date d'entrée</t>
        </is>
      </c>
      <c r="H2" s="2" t="inlineStr">
        <is>
          <t>Solde initial CP</t>
        </is>
      </c>
      <c r="I2" s="2" t="inlineStr">
        <is>
          <t>Congés acquis 2026</t>
        </is>
      </c>
      <c r="J2" s="2" t="inlineStr">
        <is>
          <t>Congés pris</t>
        </is>
      </c>
      <c r="K2" s="2" t="inlineStr">
        <is>
          <t>Congés posés en attente</t>
        </is>
      </c>
      <c r="L2" s="2" t="inlineStr">
        <is>
          <t>Solde restant</t>
        </is>
      </c>
      <c r="M2" s="2" t="inlineStr">
        <is>
          <t>Taux d'acquisition</t>
        </is>
      </c>
      <c r="N2" s="2" t="inlineStr">
        <is>
          <t>Statut</t>
        </is>
      </c>
      <c r="O2" s="2" t="inlineStr">
        <is>
          <t>Dernière absence</t>
        </is>
      </c>
      <c r="P2" s="2" t="inlineStr">
        <is>
          <t>Commentaire</t>
        </is>
      </c>
    </row>
    <row r="3">
      <c r="A3" s="3" t="inlineStr">
        <is>
          <t>M001</t>
        </is>
      </c>
      <c r="B3" s="4" t="inlineStr">
        <is>
          <t>Martin</t>
        </is>
      </c>
      <c r="C3" s="4" t="inlineStr">
        <is>
          <t>Camille</t>
        </is>
      </c>
      <c r="D3" s="3" t="inlineStr">
        <is>
          <t>RH</t>
        </is>
      </c>
      <c r="E3" s="3" t="inlineStr">
        <is>
          <t>Paris</t>
        </is>
      </c>
      <c r="F3" s="3" t="inlineStr">
        <is>
          <t>CDI</t>
        </is>
      </c>
      <c r="G3" s="5" t="inlineStr">
        <is>
          <t>15/03/2019</t>
        </is>
      </c>
      <c r="H3" s="6" t="n">
        <v>3</v>
      </c>
      <c r="I3" s="7">
        <f>ROUND(IF(YEAR(G3)&lt;2026,12,IF(YEAR(G3)=2026,12-MONTH(G3)+1,0))*2.5,1)</f>
        <v/>
      </c>
      <c r="J3" s="7">
        <f>SUMIFS('Demandes de congés'!$H:$H,'Demandes de congés'!$B:$B,$A3,'Demandes de congés'!$J:$J,"Validé")</f>
        <v/>
      </c>
      <c r="K3" s="7">
        <f>SUMIFS('Demandes de congés'!$H:$H,'Demandes de congés'!$B:$B,$A3,'Demandes de congés'!$J:$J,"En attente")</f>
        <v/>
      </c>
      <c r="L3" s="7">
        <f>H3+I3-J3-K3</f>
        <v/>
      </c>
      <c r="M3" s="8">
        <f>IFERROR(I3/25,0)</f>
        <v/>
      </c>
      <c r="N3" s="3">
        <f>IF(L3&lt;0,"Alerte",IF(L3&lt;5,"À surveiller","OK"))</f>
        <v/>
      </c>
      <c r="O3" s="9">
        <f>IFERROR(MAXIFS('Demandes de congés'!$G:$G,'Demandes de congés'!$B:$B,$A3,'Demandes de congés'!$J:$J,"Validé"),"")</f>
        <v/>
      </c>
      <c r="P3" s="10" t="inlineStr"/>
    </row>
    <row r="4">
      <c r="A4" s="11" t="inlineStr">
        <is>
          <t>M002</t>
        </is>
      </c>
      <c r="B4" s="12" t="inlineStr">
        <is>
          <t>Bernard</t>
        </is>
      </c>
      <c r="C4" s="12" t="inlineStr">
        <is>
          <t>Julien</t>
        </is>
      </c>
      <c r="D4" s="11" t="inlineStr">
        <is>
          <t>Commercial</t>
        </is>
      </c>
      <c r="E4" s="11" t="inlineStr">
        <is>
          <t>Lyon</t>
        </is>
      </c>
      <c r="F4" s="11" t="inlineStr">
        <is>
          <t>CDD</t>
        </is>
      </c>
      <c r="G4" s="5" t="inlineStr">
        <is>
          <t>01/09/2025</t>
        </is>
      </c>
      <c r="H4" s="6" t="n">
        <v>2</v>
      </c>
      <c r="I4" s="13">
        <f>ROUND(IF(YEAR(G4)&lt;2026,12,IF(YEAR(G4)=2026,12-MONTH(G4)+1,0))*2.5,1)</f>
        <v/>
      </c>
      <c r="J4" s="13">
        <f>SUMIFS('Demandes de congés'!$H:$H,'Demandes de congés'!$B:$B,$A4,'Demandes de congés'!$J:$J,"Validé")</f>
        <v/>
      </c>
      <c r="K4" s="13">
        <f>SUMIFS('Demandes de congés'!$H:$H,'Demandes de congés'!$B:$B,$A4,'Demandes de congés'!$J:$J,"En attente")</f>
        <v/>
      </c>
      <c r="L4" s="13">
        <f>H4+I4-J4-K4</f>
        <v/>
      </c>
      <c r="M4" s="14">
        <f>IFERROR(I4/25,0)</f>
        <v/>
      </c>
      <c r="N4" s="11">
        <f>IF(L4&lt;0,"Alerte",IF(L4&lt;5,"À surveiller","OK"))</f>
        <v/>
      </c>
      <c r="O4" s="5">
        <f>IFERROR(MAXIFS('Demandes de congés'!$G:$G,'Demandes de congés'!$B:$B,$A4,'Demandes de congés'!$J:$J,"Validé"),"")</f>
        <v/>
      </c>
      <c r="P4" s="10" t="inlineStr"/>
    </row>
    <row r="5">
      <c r="A5" s="3" t="inlineStr">
        <is>
          <t>M003</t>
        </is>
      </c>
      <c r="B5" s="4" t="inlineStr">
        <is>
          <t>Dubois</t>
        </is>
      </c>
      <c r="C5" s="4" t="inlineStr">
        <is>
          <t>Émilie</t>
        </is>
      </c>
      <c r="D5" s="3" t="inlineStr">
        <is>
          <t>Marketing</t>
        </is>
      </c>
      <c r="E5" s="3" t="inlineStr">
        <is>
          <t>Marseille</t>
        </is>
      </c>
      <c r="F5" s="3" t="inlineStr">
        <is>
          <t>CDI</t>
        </is>
      </c>
      <c r="G5" s="5" t="inlineStr">
        <is>
          <t>10/01/2018</t>
        </is>
      </c>
      <c r="H5" s="6" t="n">
        <v>5</v>
      </c>
      <c r="I5" s="7">
        <f>ROUND(IF(YEAR(G5)&lt;2026,12,IF(YEAR(G5)=2026,12-MONTH(G5)+1,0))*2.5,1)</f>
        <v/>
      </c>
      <c r="J5" s="7">
        <f>SUMIFS('Demandes de congés'!$H:$H,'Demandes de congés'!$B:$B,$A5,'Demandes de congés'!$J:$J,"Validé")</f>
        <v/>
      </c>
      <c r="K5" s="7">
        <f>SUMIFS('Demandes de congés'!$H:$H,'Demandes de congés'!$B:$B,$A5,'Demandes de congés'!$J:$J,"En attente")</f>
        <v/>
      </c>
      <c r="L5" s="7">
        <f>H5+I5-J5-K5</f>
        <v/>
      </c>
      <c r="M5" s="8">
        <f>IFERROR(I5/25,0)</f>
        <v/>
      </c>
      <c r="N5" s="3">
        <f>IF(L5&lt;0,"Alerte",IF(L5&lt;5,"À surveiller","OK"))</f>
        <v/>
      </c>
      <c r="O5" s="9">
        <f>IFERROR(MAXIFS('Demandes de congés'!$G:$G,'Demandes de congés'!$B:$B,$A5,'Demandes de congés'!$J:$J,"Validé"),"")</f>
        <v/>
      </c>
      <c r="P5" s="10" t="inlineStr"/>
    </row>
    <row r="6">
      <c r="A6" s="11" t="inlineStr">
        <is>
          <t>M004</t>
        </is>
      </c>
      <c r="B6" s="12" t="inlineStr">
        <is>
          <t>Petit</t>
        </is>
      </c>
      <c r="C6" s="12" t="inlineStr">
        <is>
          <t>Lucas</t>
        </is>
      </c>
      <c r="D6" s="11" t="inlineStr">
        <is>
          <t>IT</t>
        </is>
      </c>
      <c r="E6" s="11" t="inlineStr">
        <is>
          <t>Toulouse</t>
        </is>
      </c>
      <c r="F6" s="11" t="inlineStr">
        <is>
          <t>Alternance</t>
        </is>
      </c>
      <c r="G6" s="5" t="inlineStr">
        <is>
          <t>01/11/2025</t>
        </is>
      </c>
      <c r="H6" s="6" t="n">
        <v>0</v>
      </c>
      <c r="I6" s="13">
        <f>ROUND(IF(YEAR(G6)&lt;2026,12,IF(YEAR(G6)=2026,12-MONTH(G6)+1,0))*2.5,1)</f>
        <v/>
      </c>
      <c r="J6" s="13">
        <f>SUMIFS('Demandes de congés'!$H:$H,'Demandes de congés'!$B:$B,$A6,'Demandes de congés'!$J:$J,"Validé")</f>
        <v/>
      </c>
      <c r="K6" s="13">
        <f>SUMIFS('Demandes de congés'!$H:$H,'Demandes de congés'!$B:$B,$A6,'Demandes de congés'!$J:$J,"En attente")</f>
        <v/>
      </c>
      <c r="L6" s="13">
        <f>H6+I6-J6-K6</f>
        <v/>
      </c>
      <c r="M6" s="14">
        <f>IFERROR(I6/25,0)</f>
        <v/>
      </c>
      <c r="N6" s="11">
        <f>IF(L6&lt;0,"Alerte",IF(L6&lt;5,"À surveiller","OK"))</f>
        <v/>
      </c>
      <c r="O6" s="5">
        <f>IFERROR(MAXIFS('Demandes de congés'!$G:$G,'Demandes de congés'!$B:$B,$A6,'Demandes de congés'!$J:$J,"Validé"),"")</f>
        <v/>
      </c>
      <c r="P6" s="10" t="inlineStr"/>
    </row>
    <row r="7">
      <c r="A7" s="3" t="inlineStr">
        <is>
          <t>M005</t>
        </is>
      </c>
      <c r="B7" s="4" t="inlineStr">
        <is>
          <t>Robert</t>
        </is>
      </c>
      <c r="C7" s="4" t="inlineStr">
        <is>
          <t>Chloé</t>
        </is>
      </c>
      <c r="D7" s="3" t="inlineStr">
        <is>
          <t>Finance</t>
        </is>
      </c>
      <c r="E7" s="3" t="inlineStr">
        <is>
          <t>Bordeaux</t>
        </is>
      </c>
      <c r="F7" s="3" t="inlineStr">
        <is>
          <t>CDI</t>
        </is>
      </c>
      <c r="G7" s="5" t="inlineStr">
        <is>
          <t>22/06/2020</t>
        </is>
      </c>
      <c r="H7" s="6" t="n">
        <v>4</v>
      </c>
      <c r="I7" s="7">
        <f>ROUND(IF(YEAR(G7)&lt;2026,12,IF(YEAR(G7)=2026,12-MONTH(G7)+1,0))*2.5,1)</f>
        <v/>
      </c>
      <c r="J7" s="7">
        <f>SUMIFS('Demandes de congés'!$H:$H,'Demandes de congés'!$B:$B,$A7,'Demandes de congés'!$J:$J,"Validé")</f>
        <v/>
      </c>
      <c r="K7" s="7">
        <f>SUMIFS('Demandes de congés'!$H:$H,'Demandes de congés'!$B:$B,$A7,'Demandes de congés'!$J:$J,"En attente")</f>
        <v/>
      </c>
      <c r="L7" s="7">
        <f>H7+I7-J7-K7</f>
        <v/>
      </c>
      <c r="M7" s="8">
        <f>IFERROR(I7/25,0)</f>
        <v/>
      </c>
      <c r="N7" s="3">
        <f>IF(L7&lt;0,"Alerte",IF(L7&lt;5,"À surveiller","OK"))</f>
        <v/>
      </c>
      <c r="O7" s="9">
        <f>IFERROR(MAXIFS('Demandes de congés'!$G:$G,'Demandes de congés'!$B:$B,$A7,'Demandes de congés'!$J:$J,"Validé"),"")</f>
        <v/>
      </c>
      <c r="P7" s="10" t="inlineStr"/>
    </row>
    <row r="8">
      <c r="A8" s="11" t="inlineStr">
        <is>
          <t>M006</t>
        </is>
      </c>
      <c r="B8" s="12" t="inlineStr">
        <is>
          <t>Durand</t>
        </is>
      </c>
      <c r="C8" s="12" t="inlineStr">
        <is>
          <t>Thomas</t>
        </is>
      </c>
      <c r="D8" s="11" t="inlineStr">
        <is>
          <t>Logistique</t>
        </is>
      </c>
      <c r="E8" s="11" t="inlineStr">
        <is>
          <t>Lille</t>
        </is>
      </c>
      <c r="F8" s="11" t="inlineStr">
        <is>
          <t>Intérim</t>
        </is>
      </c>
      <c r="G8" s="5" t="inlineStr">
        <is>
          <t>05/02/2026</t>
        </is>
      </c>
      <c r="H8" s="6" t="n">
        <v>0</v>
      </c>
      <c r="I8" s="13">
        <f>ROUND(IF(YEAR(G8)&lt;2026,12,IF(YEAR(G8)=2026,12-MONTH(G8)+1,0))*2.5,1)</f>
        <v/>
      </c>
      <c r="J8" s="13">
        <f>SUMIFS('Demandes de congés'!$H:$H,'Demandes de congés'!$B:$B,$A8,'Demandes de congés'!$J:$J,"Validé")</f>
        <v/>
      </c>
      <c r="K8" s="13">
        <f>SUMIFS('Demandes de congés'!$H:$H,'Demandes de congés'!$B:$B,$A8,'Demandes de congés'!$J:$J,"En attente")</f>
        <v/>
      </c>
      <c r="L8" s="13">
        <f>H8+I8-J8-K8</f>
        <v/>
      </c>
      <c r="M8" s="14">
        <f>IFERROR(I8/25,0)</f>
        <v/>
      </c>
      <c r="N8" s="11">
        <f>IF(L8&lt;0,"Alerte",IF(L8&lt;5,"À surveiller","OK"))</f>
        <v/>
      </c>
      <c r="O8" s="5">
        <f>IFERROR(MAXIFS('Demandes de congés'!$G:$G,'Demandes de congés'!$B:$B,$A8,'Demandes de congés'!$J:$J,"Validé"),"")</f>
        <v/>
      </c>
      <c r="P8" s="10" t="inlineStr"/>
    </row>
    <row r="9">
      <c r="A9" s="3" t="inlineStr">
        <is>
          <t>M007</t>
        </is>
      </c>
      <c r="B9" s="4" t="inlineStr">
        <is>
          <t>Moreau</t>
        </is>
      </c>
      <c r="C9" s="4" t="inlineStr">
        <is>
          <t>Léa</t>
        </is>
      </c>
      <c r="D9" s="3" t="inlineStr">
        <is>
          <t>RH</t>
        </is>
      </c>
      <c r="E9" s="3" t="inlineStr">
        <is>
          <t>Nantes</t>
        </is>
      </c>
      <c r="F9" s="3" t="inlineStr">
        <is>
          <t>CDI</t>
        </is>
      </c>
      <c r="G9" s="5" t="inlineStr">
        <is>
          <t>18/11/2016</t>
        </is>
      </c>
      <c r="H9" s="6" t="n">
        <v>6</v>
      </c>
      <c r="I9" s="7">
        <f>ROUND(IF(YEAR(G9)&lt;2026,12,IF(YEAR(G9)=2026,12-MONTH(G9)+1,0))*2.5,1)</f>
        <v/>
      </c>
      <c r="J9" s="7">
        <f>SUMIFS('Demandes de congés'!$H:$H,'Demandes de congés'!$B:$B,$A9,'Demandes de congés'!$J:$J,"Validé")</f>
        <v/>
      </c>
      <c r="K9" s="7">
        <f>SUMIFS('Demandes de congés'!$H:$H,'Demandes de congés'!$B:$B,$A9,'Demandes de congés'!$J:$J,"En attente")</f>
        <v/>
      </c>
      <c r="L9" s="7">
        <f>H9+I9-J9-K9</f>
        <v/>
      </c>
      <c r="M9" s="8">
        <f>IFERROR(I9/25,0)</f>
        <v/>
      </c>
      <c r="N9" s="3">
        <f>IF(L9&lt;0,"Alerte",IF(L9&lt;5,"À surveiller","OK"))</f>
        <v/>
      </c>
      <c r="O9" s="9">
        <f>IFERROR(MAXIFS('Demandes de congés'!$G:$G,'Demandes de congés'!$B:$B,$A9,'Demandes de congés'!$J:$J,"Validé"),"")</f>
        <v/>
      </c>
      <c r="P9" s="10" t="inlineStr"/>
    </row>
    <row r="10">
      <c r="A10" s="11" t="inlineStr">
        <is>
          <t>M008</t>
        </is>
      </c>
      <c r="B10" s="12" t="inlineStr">
        <is>
          <t>Fournier</t>
        </is>
      </c>
      <c r="C10" s="12" t="inlineStr">
        <is>
          <t>Nicolas</t>
        </is>
      </c>
      <c r="D10" s="11" t="inlineStr">
        <is>
          <t>Commercial</t>
        </is>
      </c>
      <c r="E10" s="11" t="inlineStr">
        <is>
          <t>Strasbourg</t>
        </is>
      </c>
      <c r="F10" s="11" t="inlineStr">
        <is>
          <t>CDI</t>
        </is>
      </c>
      <c r="G10" s="5" t="inlineStr">
        <is>
          <t>03/04/2021</t>
        </is>
      </c>
      <c r="H10" s="6" t="n">
        <v>2</v>
      </c>
      <c r="I10" s="13">
        <f>ROUND(IF(YEAR(G10)&lt;2026,12,IF(YEAR(G10)=2026,12-MONTH(G10)+1,0))*2.5,1)</f>
        <v/>
      </c>
      <c r="J10" s="13">
        <f>SUMIFS('Demandes de congés'!$H:$H,'Demandes de congés'!$B:$B,$A10,'Demandes de congés'!$J:$J,"Validé")</f>
        <v/>
      </c>
      <c r="K10" s="13">
        <f>SUMIFS('Demandes de congés'!$H:$H,'Demandes de congés'!$B:$B,$A10,'Demandes de congés'!$J:$J,"En attente")</f>
        <v/>
      </c>
      <c r="L10" s="13">
        <f>H10+I10-J10-K10</f>
        <v/>
      </c>
      <c r="M10" s="14">
        <f>IFERROR(I10/25,0)</f>
        <v/>
      </c>
      <c r="N10" s="11">
        <f>IF(L10&lt;0,"Alerte",IF(L10&lt;5,"À surveiller","OK"))</f>
        <v/>
      </c>
      <c r="O10" s="5">
        <f>IFERROR(MAXIFS('Demandes de congés'!$G:$G,'Demandes de congés'!$B:$B,$A10,'Demandes de congés'!$J:$J,"Validé"),"")</f>
        <v/>
      </c>
      <c r="P10" s="10" t="inlineStr"/>
    </row>
    <row r="11">
      <c r="A11" s="3" t="inlineStr">
        <is>
          <t>M009</t>
        </is>
      </c>
      <c r="B11" s="4" t="inlineStr">
        <is>
          <t>Girard</t>
        </is>
      </c>
      <c r="C11" s="4" t="inlineStr">
        <is>
          <t>Manon</t>
        </is>
      </c>
      <c r="D11" s="3" t="inlineStr">
        <is>
          <t>Marketing</t>
        </is>
      </c>
      <c r="E11" s="3" t="inlineStr">
        <is>
          <t>Nice</t>
        </is>
      </c>
      <c r="F11" s="3" t="inlineStr">
        <is>
          <t>CDD</t>
        </is>
      </c>
      <c r="G11" s="5" t="inlineStr">
        <is>
          <t>12/01/2026</t>
        </is>
      </c>
      <c r="H11" s="6" t="n">
        <v>1</v>
      </c>
      <c r="I11" s="7">
        <f>ROUND(IF(YEAR(G11)&lt;2026,12,IF(YEAR(G11)=2026,12-MONTH(G11)+1,0))*2.5,1)</f>
        <v/>
      </c>
      <c r="J11" s="7">
        <f>SUMIFS('Demandes de congés'!$H:$H,'Demandes de congés'!$B:$B,$A11,'Demandes de congés'!$J:$J,"Validé")</f>
        <v/>
      </c>
      <c r="K11" s="7">
        <f>SUMIFS('Demandes de congés'!$H:$H,'Demandes de congés'!$B:$B,$A11,'Demandes de congés'!$J:$J,"En attente")</f>
        <v/>
      </c>
      <c r="L11" s="7">
        <f>H11+I11-J11-K11</f>
        <v/>
      </c>
      <c r="M11" s="8">
        <f>IFERROR(I11/25,0)</f>
        <v/>
      </c>
      <c r="N11" s="3">
        <f>IF(L11&lt;0,"Alerte",IF(L11&lt;5,"À surveiller","OK"))</f>
        <v/>
      </c>
      <c r="O11" s="9">
        <f>IFERROR(MAXIFS('Demandes de congés'!$G:$G,'Demandes de congés'!$B:$B,$A11,'Demandes de congés'!$J:$J,"Validé"),"")</f>
        <v/>
      </c>
      <c r="P11" s="10" t="inlineStr"/>
    </row>
    <row r="12">
      <c r="A12" s="11" t="inlineStr">
        <is>
          <t>M010</t>
        </is>
      </c>
      <c r="B12" s="12" t="inlineStr">
        <is>
          <t>Lefèvre</t>
        </is>
      </c>
      <c r="C12" s="12" t="inlineStr">
        <is>
          <t>Antoine</t>
        </is>
      </c>
      <c r="D12" s="11" t="inlineStr">
        <is>
          <t>IT</t>
        </is>
      </c>
      <c r="E12" s="11" t="inlineStr">
        <is>
          <t>Rennes</t>
        </is>
      </c>
      <c r="F12" s="11" t="inlineStr">
        <is>
          <t>CDI</t>
        </is>
      </c>
      <c r="G12" s="5" t="inlineStr">
        <is>
          <t>09/09/2015</t>
        </is>
      </c>
      <c r="H12" s="6" t="n">
        <v>5.5</v>
      </c>
      <c r="I12" s="13">
        <f>ROUND(IF(YEAR(G12)&lt;2026,12,IF(YEAR(G12)=2026,12-MONTH(G12)+1,0))*2.5,1)</f>
        <v/>
      </c>
      <c r="J12" s="13">
        <f>SUMIFS('Demandes de congés'!$H:$H,'Demandes de congés'!$B:$B,$A12,'Demandes de congés'!$J:$J,"Validé")</f>
        <v/>
      </c>
      <c r="K12" s="13">
        <f>SUMIFS('Demandes de congés'!$H:$H,'Demandes de congés'!$B:$B,$A12,'Demandes de congés'!$J:$J,"En attente")</f>
        <v/>
      </c>
      <c r="L12" s="13">
        <f>H12+I12-J12-K12</f>
        <v/>
      </c>
      <c r="M12" s="14">
        <f>IFERROR(I12/25,0)</f>
        <v/>
      </c>
      <c r="N12" s="11">
        <f>IF(L12&lt;0,"Alerte",IF(L12&lt;5,"À surveiller","OK"))</f>
        <v/>
      </c>
      <c r="O12" s="5">
        <f>IFERROR(MAXIFS('Demandes de congés'!$G:$G,'Demandes de congés'!$B:$B,$A12,'Demandes de congés'!$J:$J,"Validé"),"")</f>
        <v/>
      </c>
      <c r="P12" s="10" t="inlineStr"/>
    </row>
  </sheetData>
  <mergeCells count="1">
    <mergeCell ref="A1:P1"/>
  </mergeCells>
  <conditionalFormatting sqref="L3:L12">
    <cfRule type="expression" priority="1" dxfId="0" stopIfTrue="1">
      <formula>L3&lt;0</formula>
    </cfRule>
    <cfRule type="expression" priority="2" dxfId="1" stopIfTrue="1">
      <formula>L3&gt;=0</formula>
    </cfRule>
  </conditionalFormatting>
  <conditionalFormatting sqref="N3:N12">
    <cfRule type="expression" priority="3" dxfId="0" stopIfTrue="1">
      <formula>N3="Alerte"</formula>
    </cfRule>
    <cfRule type="expression" priority="4" dxfId="1" stopIfTrue="1">
      <formula>N3="OK"</formula>
    </cfRule>
  </conditionalFormatting>
  <dataValidations count="1">
    <dataValidation sqref="F3:F12" showErrorMessage="1" showInputMessage="1" allowBlank="1" type="list">
      <formula1>"CDI,CDD,Alternance,Intérim"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2" customWidth="1" min="3" max="3"/>
    <col width="12" customWidth="1" min="4" max="4"/>
    <col width="13" customWidth="1" min="5" max="5"/>
    <col width="12" customWidth="1" min="6" max="6"/>
    <col width="12" customWidth="1" min="7" max="7"/>
    <col width="13" customWidth="1" min="8" max="8"/>
    <col width="15" customWidth="1" min="9" max="9"/>
    <col width="12" customWidth="1" min="10" max="10"/>
    <col width="12" customWidth="1" min="11" max="11"/>
    <col width="15" customWidth="1" min="12" max="12"/>
    <col width="20" customWidth="1" min="13" max="13"/>
    <col width="12" customWidth="1" min="14" max="14"/>
    <col width="9" customWidth="1" min="15" max="15"/>
  </cols>
  <sheetData>
    <row r="1" ht="26" customHeight="1">
      <c r="A1" s="1" t="inlineStr">
        <is>
          <t>HISTORIQUE DES DEMANDES DE CONGÉS</t>
        </is>
      </c>
    </row>
    <row r="2">
      <c r="A2" s="15" t="inlineStr">
        <is>
          <t>ID Demande</t>
        </is>
      </c>
      <c r="B2" s="15" t="inlineStr">
        <is>
          <t>Matricule</t>
        </is>
      </c>
      <c r="C2" s="15" t="inlineStr">
        <is>
          <t>Nom</t>
        </is>
      </c>
      <c r="D2" s="15" t="inlineStr">
        <is>
          <t>Prénom</t>
        </is>
      </c>
      <c r="E2" s="15" t="inlineStr">
        <is>
          <t>Service</t>
        </is>
      </c>
      <c r="F2" s="15" t="inlineStr">
        <is>
          <t>Date début</t>
        </is>
      </c>
      <c r="G2" s="15" t="inlineStr">
        <is>
          <t>Date fin</t>
        </is>
      </c>
      <c r="H2" s="15" t="inlineStr">
        <is>
          <t>Nb jours ouvrés</t>
        </is>
      </c>
      <c r="I2" s="15" t="inlineStr">
        <is>
          <t>Type de congé</t>
        </is>
      </c>
      <c r="J2" s="15" t="inlineStr">
        <is>
          <t>Statut</t>
        </is>
      </c>
      <c r="K2" s="15" t="inlineStr">
        <is>
          <t>Validateur</t>
        </is>
      </c>
      <c r="L2" s="15" t="inlineStr">
        <is>
          <t>Date de validation</t>
        </is>
      </c>
      <c r="M2" s="15" t="inlineStr">
        <is>
          <t>Motif</t>
        </is>
      </c>
      <c r="N2" s="15" t="inlineStr">
        <is>
          <t>Impact solde</t>
        </is>
      </c>
      <c r="O2" s="15" t="inlineStr">
        <is>
          <t>Année</t>
        </is>
      </c>
    </row>
    <row r="3">
      <c r="A3" s="3" t="inlineStr">
        <is>
          <t>D001</t>
        </is>
      </c>
      <c r="B3" s="3" t="inlineStr">
        <is>
          <t>M001</t>
        </is>
      </c>
      <c r="C3" s="4" t="inlineStr">
        <is>
          <t>Martin</t>
        </is>
      </c>
      <c r="D3" s="4" t="inlineStr">
        <is>
          <t>Camille</t>
        </is>
      </c>
      <c r="E3" s="3" t="inlineStr">
        <is>
          <t>RH</t>
        </is>
      </c>
      <c r="F3" s="9" t="inlineStr">
        <is>
          <t>06/01/2026</t>
        </is>
      </c>
      <c r="G3" s="9" t="inlineStr">
        <is>
          <t>09/01/2026</t>
        </is>
      </c>
      <c r="H3" s="3">
        <f>NETWORKDAYS(F3,G3)</f>
        <v/>
      </c>
      <c r="I3" s="3" t="inlineStr">
        <is>
          <t>CP</t>
        </is>
      </c>
      <c r="J3" s="3" t="inlineStr">
        <is>
          <t>Validé</t>
        </is>
      </c>
      <c r="K3" s="3" t="inlineStr">
        <is>
          <t>Dupont</t>
        </is>
      </c>
      <c r="L3" s="9" t="inlineStr">
        <is>
          <t>20/12/2025</t>
        </is>
      </c>
      <c r="M3" s="4" t="inlineStr">
        <is>
          <t>Vacances hiver</t>
        </is>
      </c>
      <c r="N3" s="3">
        <f>IF(J3="Validé",H3,0)</f>
        <v/>
      </c>
      <c r="O3" s="3">
        <f>YEAR(F3)</f>
        <v/>
      </c>
    </row>
    <row r="4">
      <c r="A4" s="11" t="inlineStr">
        <is>
          <t>D002</t>
        </is>
      </c>
      <c r="B4" s="11" t="inlineStr">
        <is>
          <t>M002</t>
        </is>
      </c>
      <c r="C4" s="12" t="inlineStr">
        <is>
          <t>Bernard</t>
        </is>
      </c>
      <c r="D4" s="12" t="inlineStr">
        <is>
          <t>Julien</t>
        </is>
      </c>
      <c r="E4" s="11" t="inlineStr">
        <is>
          <t>Commercial</t>
        </is>
      </c>
      <c r="F4" s="16" t="inlineStr">
        <is>
          <t>12/02/2026</t>
        </is>
      </c>
      <c r="G4" s="16" t="inlineStr">
        <is>
          <t>13/02/2026</t>
        </is>
      </c>
      <c r="H4" s="11">
        <f>NETWORKDAYS(F4,G4)</f>
        <v/>
      </c>
      <c r="I4" s="11" t="inlineStr">
        <is>
          <t>RTT</t>
        </is>
      </c>
      <c r="J4" s="17" t="inlineStr">
        <is>
          <t>Validé</t>
        </is>
      </c>
      <c r="K4" s="11" t="inlineStr">
        <is>
          <t>Leroy</t>
        </is>
      </c>
      <c r="L4" s="5" t="inlineStr">
        <is>
          <t>01/02/2026</t>
        </is>
      </c>
      <c r="M4" s="12" t="inlineStr">
        <is>
          <t>Pont</t>
        </is>
      </c>
      <c r="N4" s="11">
        <f>IF(J4="Validé",H4,0)</f>
        <v/>
      </c>
      <c r="O4" s="11">
        <f>YEAR(F4)</f>
        <v/>
      </c>
    </row>
    <row r="5">
      <c r="A5" s="3" t="inlineStr">
        <is>
          <t>D003</t>
        </is>
      </c>
      <c r="B5" s="3" t="inlineStr">
        <is>
          <t>M003</t>
        </is>
      </c>
      <c r="C5" s="4" t="inlineStr">
        <is>
          <t>Dubois</t>
        </is>
      </c>
      <c r="D5" s="4" t="inlineStr">
        <is>
          <t>Émilie</t>
        </is>
      </c>
      <c r="E5" s="3" t="inlineStr">
        <is>
          <t>Marketing</t>
        </is>
      </c>
      <c r="F5" s="9" t="inlineStr">
        <is>
          <t>02/03/2026</t>
        </is>
      </c>
      <c r="G5" s="9" t="inlineStr">
        <is>
          <t>06/03/2026</t>
        </is>
      </c>
      <c r="H5" s="3">
        <f>NETWORKDAYS(F5,G5)</f>
        <v/>
      </c>
      <c r="I5" s="3" t="inlineStr">
        <is>
          <t>CP</t>
        </is>
      </c>
      <c r="J5" s="3" t="inlineStr">
        <is>
          <t>Validé</t>
        </is>
      </c>
      <c r="K5" s="3" t="inlineStr">
        <is>
          <t>Girard</t>
        </is>
      </c>
      <c r="L5" s="9" t="inlineStr">
        <is>
          <t>15/02/2026</t>
        </is>
      </c>
      <c r="M5" s="4" t="inlineStr">
        <is>
          <t>Voyage</t>
        </is>
      </c>
      <c r="N5" s="3">
        <f>IF(J5="Validé",H5,0)</f>
        <v/>
      </c>
      <c r="O5" s="3">
        <f>YEAR(F5)</f>
        <v/>
      </c>
    </row>
    <row r="6">
      <c r="A6" s="11" t="inlineStr">
        <is>
          <t>D004</t>
        </is>
      </c>
      <c r="B6" s="11" t="inlineStr">
        <is>
          <t>M004</t>
        </is>
      </c>
      <c r="C6" s="12" t="inlineStr">
        <is>
          <t>Petit</t>
        </is>
      </c>
      <c r="D6" s="12" t="inlineStr">
        <is>
          <t>Lucas</t>
        </is>
      </c>
      <c r="E6" s="11" t="inlineStr">
        <is>
          <t>IT</t>
        </is>
      </c>
      <c r="F6" s="16" t="inlineStr">
        <is>
          <t>20/03/2026</t>
        </is>
      </c>
      <c r="G6" s="16" t="inlineStr">
        <is>
          <t>20/03/2026</t>
        </is>
      </c>
      <c r="H6" s="11">
        <f>NETWORKDAYS(F6,G6)</f>
        <v/>
      </c>
      <c r="I6" s="11" t="inlineStr">
        <is>
          <t>CP</t>
        </is>
      </c>
      <c r="J6" s="17" t="inlineStr">
        <is>
          <t>En attente</t>
        </is>
      </c>
      <c r="K6" s="11" t="inlineStr"/>
      <c r="L6" s="11" t="inlineStr"/>
      <c r="M6" s="12" t="inlineStr">
        <is>
          <t>Demande récente</t>
        </is>
      </c>
      <c r="N6" s="11">
        <f>IF(J6="Validé",H6,0)</f>
        <v/>
      </c>
      <c r="O6" s="11">
        <f>YEAR(F6)</f>
        <v/>
      </c>
    </row>
    <row r="7">
      <c r="A7" s="3" t="inlineStr">
        <is>
          <t>D005</t>
        </is>
      </c>
      <c r="B7" s="3" t="inlineStr">
        <is>
          <t>M005</t>
        </is>
      </c>
      <c r="C7" s="4" t="inlineStr">
        <is>
          <t>Robert</t>
        </is>
      </c>
      <c r="D7" s="4" t="inlineStr">
        <is>
          <t>Chloé</t>
        </is>
      </c>
      <c r="E7" s="3" t="inlineStr">
        <is>
          <t>Finance</t>
        </is>
      </c>
      <c r="F7" s="9" t="inlineStr">
        <is>
          <t>13/04/2026</t>
        </is>
      </c>
      <c r="G7" s="9" t="inlineStr">
        <is>
          <t>17/04/2026</t>
        </is>
      </c>
      <c r="H7" s="3">
        <f>NETWORKDAYS(F7,G7)</f>
        <v/>
      </c>
      <c r="I7" s="3" t="inlineStr">
        <is>
          <t>CP</t>
        </is>
      </c>
      <c r="J7" s="3" t="inlineStr">
        <is>
          <t>Validé</t>
        </is>
      </c>
      <c r="K7" s="3" t="inlineStr">
        <is>
          <t>Petit</t>
        </is>
      </c>
      <c r="L7" s="9" t="inlineStr">
        <is>
          <t>01/04/2026</t>
        </is>
      </c>
      <c r="M7" s="4" t="inlineStr">
        <is>
          <t>Congés printemps</t>
        </is>
      </c>
      <c r="N7" s="3">
        <f>IF(J7="Validé",H7,0)</f>
        <v/>
      </c>
      <c r="O7" s="3">
        <f>YEAR(F7)</f>
        <v/>
      </c>
    </row>
    <row r="8">
      <c r="A8" s="11" t="inlineStr">
        <is>
          <t>D006</t>
        </is>
      </c>
      <c r="B8" s="11" t="inlineStr">
        <is>
          <t>M006</t>
        </is>
      </c>
      <c r="C8" s="12" t="inlineStr">
        <is>
          <t>Durand</t>
        </is>
      </c>
      <c r="D8" s="12" t="inlineStr">
        <is>
          <t>Thomas</t>
        </is>
      </c>
      <c r="E8" s="11" t="inlineStr">
        <is>
          <t>Logistique</t>
        </is>
      </c>
      <c r="F8" s="16" t="inlineStr">
        <is>
          <t>04/05/2026</t>
        </is>
      </c>
      <c r="G8" s="16" t="inlineStr">
        <is>
          <t>04/05/2026</t>
        </is>
      </c>
      <c r="H8" s="11">
        <f>NETWORKDAYS(F8,G8)</f>
        <v/>
      </c>
      <c r="I8" s="11" t="inlineStr">
        <is>
          <t>Sans solde</t>
        </is>
      </c>
      <c r="J8" s="17" t="inlineStr">
        <is>
          <t>Refusé</t>
        </is>
      </c>
      <c r="K8" s="11" t="inlineStr">
        <is>
          <t>Moreau</t>
        </is>
      </c>
      <c r="L8" s="5" t="inlineStr">
        <is>
          <t>20/04/2026</t>
        </is>
      </c>
      <c r="M8" s="12" t="inlineStr">
        <is>
          <t>Motif personnel</t>
        </is>
      </c>
      <c r="N8" s="11">
        <f>IF(J8="Validé",H8,0)</f>
        <v/>
      </c>
      <c r="O8" s="11">
        <f>YEAR(F8)</f>
        <v/>
      </c>
    </row>
    <row r="9">
      <c r="A9" s="3" t="inlineStr">
        <is>
          <t>D007</t>
        </is>
      </c>
      <c r="B9" s="3" t="inlineStr">
        <is>
          <t>M007</t>
        </is>
      </c>
      <c r="C9" s="4" t="inlineStr">
        <is>
          <t>Moreau</t>
        </is>
      </c>
      <c r="D9" s="4" t="inlineStr">
        <is>
          <t>Léa</t>
        </is>
      </c>
      <c r="E9" s="3" t="inlineStr">
        <is>
          <t>RH</t>
        </is>
      </c>
      <c r="F9" s="9" t="inlineStr">
        <is>
          <t>18/05/2026</t>
        </is>
      </c>
      <c r="G9" s="9" t="inlineStr">
        <is>
          <t>22/05/2026</t>
        </is>
      </c>
      <c r="H9" s="3">
        <f>NETWORKDAYS(F9,G9)</f>
        <v/>
      </c>
      <c r="I9" s="3" t="inlineStr">
        <is>
          <t>CP</t>
        </is>
      </c>
      <c r="J9" s="3" t="inlineStr">
        <is>
          <t>Validé</t>
        </is>
      </c>
      <c r="K9" s="3" t="inlineStr">
        <is>
          <t>Dupont</t>
        </is>
      </c>
      <c r="L9" s="9" t="inlineStr">
        <is>
          <t>05/05/2026</t>
        </is>
      </c>
      <c r="M9" s="4" t="inlineStr">
        <is>
          <t>Congés</t>
        </is>
      </c>
      <c r="N9" s="3">
        <f>IF(J9="Validé",H9,0)</f>
        <v/>
      </c>
      <c r="O9" s="3">
        <f>YEAR(F9)</f>
        <v/>
      </c>
    </row>
    <row r="10">
      <c r="A10" s="11" t="inlineStr">
        <is>
          <t>D008</t>
        </is>
      </c>
      <c r="B10" s="11" t="inlineStr">
        <is>
          <t>M008</t>
        </is>
      </c>
      <c r="C10" s="12" t="inlineStr">
        <is>
          <t>Fournier</t>
        </is>
      </c>
      <c r="D10" s="12" t="inlineStr">
        <is>
          <t>Nicolas</t>
        </is>
      </c>
      <c r="E10" s="11" t="inlineStr">
        <is>
          <t>Commercial</t>
        </is>
      </c>
      <c r="F10" s="16" t="inlineStr">
        <is>
          <t>08/06/2026</t>
        </is>
      </c>
      <c r="G10" s="16" t="inlineStr">
        <is>
          <t>12/06/2026</t>
        </is>
      </c>
      <c r="H10" s="11">
        <f>NETWORKDAYS(F10,G10)</f>
        <v/>
      </c>
      <c r="I10" s="11" t="inlineStr">
        <is>
          <t>CP</t>
        </is>
      </c>
      <c r="J10" s="17" t="inlineStr">
        <is>
          <t>Validé</t>
        </is>
      </c>
      <c r="K10" s="11" t="inlineStr">
        <is>
          <t>Leroy</t>
        </is>
      </c>
      <c r="L10" s="5" t="inlineStr">
        <is>
          <t>25/05/2026</t>
        </is>
      </c>
      <c r="M10" s="12" t="inlineStr">
        <is>
          <t>Congés été</t>
        </is>
      </c>
      <c r="N10" s="11">
        <f>IF(J10="Validé",H10,0)</f>
        <v/>
      </c>
      <c r="O10" s="11">
        <f>YEAR(F10)</f>
        <v/>
      </c>
    </row>
    <row r="11">
      <c r="A11" s="3" t="inlineStr">
        <is>
          <t>D009</t>
        </is>
      </c>
      <c r="B11" s="3" t="inlineStr">
        <is>
          <t>M009</t>
        </is>
      </c>
      <c r="C11" s="4" t="inlineStr">
        <is>
          <t>Girard</t>
        </is>
      </c>
      <c r="D11" s="4" t="inlineStr">
        <is>
          <t>Manon</t>
        </is>
      </c>
      <c r="E11" s="3" t="inlineStr">
        <is>
          <t>Marketing</t>
        </is>
      </c>
      <c r="F11" s="9" t="inlineStr">
        <is>
          <t>15/06/2026</t>
        </is>
      </c>
      <c r="G11" s="9" t="inlineStr">
        <is>
          <t>16/06/2026</t>
        </is>
      </c>
      <c r="H11" s="3">
        <f>NETWORKDAYS(F11,G11)</f>
        <v/>
      </c>
      <c r="I11" s="3" t="inlineStr">
        <is>
          <t>RTT</t>
        </is>
      </c>
      <c r="J11" s="3" t="inlineStr">
        <is>
          <t>En attente</t>
        </is>
      </c>
      <c r="K11" s="3" t="inlineStr"/>
      <c r="L11" s="3" t="inlineStr"/>
      <c r="M11" s="4" t="inlineStr">
        <is>
          <t>Demande récente</t>
        </is>
      </c>
      <c r="N11" s="3">
        <f>IF(J11="Validé",H11,0)</f>
        <v/>
      </c>
      <c r="O11" s="3">
        <f>YEAR(F11)</f>
        <v/>
      </c>
    </row>
    <row r="12">
      <c r="A12" s="11" t="inlineStr">
        <is>
          <t>D010</t>
        </is>
      </c>
      <c r="B12" s="11" t="inlineStr">
        <is>
          <t>M010</t>
        </is>
      </c>
      <c r="C12" s="12" t="inlineStr">
        <is>
          <t>Lefèvre</t>
        </is>
      </c>
      <c r="D12" s="12" t="inlineStr">
        <is>
          <t>Antoine</t>
        </is>
      </c>
      <c r="E12" s="11" t="inlineStr">
        <is>
          <t>IT</t>
        </is>
      </c>
      <c r="F12" s="16" t="inlineStr">
        <is>
          <t>20/07/2026</t>
        </is>
      </c>
      <c r="G12" s="16" t="inlineStr">
        <is>
          <t>31/07/2026</t>
        </is>
      </c>
      <c r="H12" s="11">
        <f>NETWORKDAYS(F12,G12)</f>
        <v/>
      </c>
      <c r="I12" s="11" t="inlineStr">
        <is>
          <t>CP</t>
        </is>
      </c>
      <c r="J12" s="17" t="inlineStr">
        <is>
          <t>Validé</t>
        </is>
      </c>
      <c r="K12" s="11" t="inlineStr">
        <is>
          <t>Petit</t>
        </is>
      </c>
      <c r="L12" s="5" t="inlineStr">
        <is>
          <t>01/07/2026</t>
        </is>
      </c>
      <c r="M12" s="12" t="inlineStr">
        <is>
          <t>Congés été</t>
        </is>
      </c>
      <c r="N12" s="11">
        <f>IF(J12="Validé",H12,0)</f>
        <v/>
      </c>
      <c r="O12" s="11">
        <f>YEAR(F12)</f>
        <v/>
      </c>
    </row>
    <row r="13">
      <c r="A13" s="3" t="inlineStr">
        <is>
          <t>D011</t>
        </is>
      </c>
      <c r="B13" s="3" t="inlineStr">
        <is>
          <t>M001</t>
        </is>
      </c>
      <c r="C13" s="4" t="inlineStr">
        <is>
          <t>Martin</t>
        </is>
      </c>
      <c r="D13" s="4" t="inlineStr">
        <is>
          <t>Camille</t>
        </is>
      </c>
      <c r="E13" s="3" t="inlineStr">
        <is>
          <t>RH</t>
        </is>
      </c>
      <c r="F13" s="9" t="inlineStr">
        <is>
          <t>10/08/2026</t>
        </is>
      </c>
      <c r="G13" s="9" t="inlineStr">
        <is>
          <t>14/08/2026</t>
        </is>
      </c>
      <c r="H13" s="3">
        <f>NETWORKDAYS(F13,G13)</f>
        <v/>
      </c>
      <c r="I13" s="3" t="inlineStr">
        <is>
          <t>CP</t>
        </is>
      </c>
      <c r="J13" s="3" t="inlineStr">
        <is>
          <t>Validé</t>
        </is>
      </c>
      <c r="K13" s="3" t="inlineStr">
        <is>
          <t>Dupont</t>
        </is>
      </c>
      <c r="L13" s="9" t="inlineStr">
        <is>
          <t>20/07/2026</t>
        </is>
      </c>
      <c r="M13" s="4" t="inlineStr">
        <is>
          <t>Congés été</t>
        </is>
      </c>
      <c r="N13" s="3">
        <f>IF(J13="Validé",H13,0)</f>
        <v/>
      </c>
      <c r="O13" s="3">
        <f>YEAR(F13)</f>
        <v/>
      </c>
    </row>
    <row r="14">
      <c r="A14" s="11" t="inlineStr">
        <is>
          <t>D012</t>
        </is>
      </c>
      <c r="B14" s="11" t="inlineStr">
        <is>
          <t>M003</t>
        </is>
      </c>
      <c r="C14" s="12" t="inlineStr">
        <is>
          <t>Dubois</t>
        </is>
      </c>
      <c r="D14" s="12" t="inlineStr">
        <is>
          <t>Émilie</t>
        </is>
      </c>
      <c r="E14" s="11" t="inlineStr">
        <is>
          <t>Marketing</t>
        </is>
      </c>
      <c r="F14" s="16" t="inlineStr">
        <is>
          <t>01/09/2026</t>
        </is>
      </c>
      <c r="G14" s="16" t="inlineStr">
        <is>
          <t>02/09/2026</t>
        </is>
      </c>
      <c r="H14" s="11">
        <f>NETWORKDAYS(F14,G14)</f>
        <v/>
      </c>
      <c r="I14" s="11" t="inlineStr">
        <is>
          <t>Ancienneté</t>
        </is>
      </c>
      <c r="J14" s="17" t="inlineStr">
        <is>
          <t>Validé</t>
        </is>
      </c>
      <c r="K14" s="11" t="inlineStr">
        <is>
          <t>Girard</t>
        </is>
      </c>
      <c r="L14" s="5" t="inlineStr">
        <is>
          <t>15/08/2026</t>
        </is>
      </c>
      <c r="M14" s="12" t="inlineStr">
        <is>
          <t>Jour ancienneté</t>
        </is>
      </c>
      <c r="N14" s="11">
        <f>IF(J14="Validé",H14,0)</f>
        <v/>
      </c>
      <c r="O14" s="11">
        <f>YEAR(F14)</f>
        <v/>
      </c>
    </row>
    <row r="15">
      <c r="A15" s="3" t="inlineStr">
        <is>
          <t>D013</t>
        </is>
      </c>
      <c r="B15" s="3" t="inlineStr">
        <is>
          <t>M005</t>
        </is>
      </c>
      <c r="C15" s="4" t="inlineStr">
        <is>
          <t>Robert</t>
        </is>
      </c>
      <c r="D15" s="4" t="inlineStr">
        <is>
          <t>Chloé</t>
        </is>
      </c>
      <c r="E15" s="3" t="inlineStr">
        <is>
          <t>Finance</t>
        </is>
      </c>
      <c r="F15" s="9" t="inlineStr">
        <is>
          <t>21/09/2026</t>
        </is>
      </c>
      <c r="G15" s="9" t="inlineStr">
        <is>
          <t>21/09/2026</t>
        </is>
      </c>
      <c r="H15" s="3">
        <f>NETWORKDAYS(F15,G15)</f>
        <v/>
      </c>
      <c r="I15" s="3" t="inlineStr">
        <is>
          <t>Fractionnement</t>
        </is>
      </c>
      <c r="J15" s="3" t="inlineStr">
        <is>
          <t>Validé</t>
        </is>
      </c>
      <c r="K15" s="3" t="inlineStr">
        <is>
          <t>Petit</t>
        </is>
      </c>
      <c r="L15" s="9" t="inlineStr">
        <is>
          <t>10/09/2026</t>
        </is>
      </c>
      <c r="M15" s="4" t="inlineStr">
        <is>
          <t>Jour fractionnement</t>
        </is>
      </c>
      <c r="N15" s="3">
        <f>IF(J15="Validé",H15,0)</f>
        <v/>
      </c>
      <c r="O15" s="3">
        <f>YEAR(F15)</f>
        <v/>
      </c>
    </row>
    <row r="16">
      <c r="A16" s="11" t="inlineStr">
        <is>
          <t>D014</t>
        </is>
      </c>
      <c r="B16" s="11" t="inlineStr">
        <is>
          <t>M004</t>
        </is>
      </c>
      <c r="C16" s="12" t="inlineStr">
        <is>
          <t>Petit</t>
        </is>
      </c>
      <c r="D16" s="12" t="inlineStr">
        <is>
          <t>Lucas</t>
        </is>
      </c>
      <c r="E16" s="11" t="inlineStr">
        <is>
          <t>IT</t>
        </is>
      </c>
      <c r="F16" s="16" t="inlineStr">
        <is>
          <t>03/08/2026</t>
        </is>
      </c>
      <c r="G16" s="16" t="inlineStr">
        <is>
          <t>28/08/2026</t>
        </is>
      </c>
      <c r="H16" s="11">
        <f>NETWORKDAYS(F16,G16)</f>
        <v/>
      </c>
      <c r="I16" s="11" t="inlineStr">
        <is>
          <t>CP</t>
        </is>
      </c>
      <c r="J16" s="17" t="inlineStr">
        <is>
          <t>Validé</t>
        </is>
      </c>
      <c r="K16" s="11" t="inlineStr">
        <is>
          <t>Petit</t>
        </is>
      </c>
      <c r="L16" s="5" t="inlineStr">
        <is>
          <t>20/07/2026</t>
        </is>
      </c>
      <c r="M16" s="12" t="inlineStr">
        <is>
          <t>Congés été</t>
        </is>
      </c>
      <c r="N16" s="11">
        <f>IF(J16="Validé",H16,0)</f>
        <v/>
      </c>
      <c r="O16" s="11">
        <f>YEAR(F16)</f>
        <v/>
      </c>
    </row>
    <row r="17">
      <c r="A17" s="3" t="inlineStr">
        <is>
          <t>D015</t>
        </is>
      </c>
      <c r="B17" s="3" t="inlineStr">
        <is>
          <t>M004</t>
        </is>
      </c>
      <c r="C17" s="4" t="inlineStr">
        <is>
          <t>Petit</t>
        </is>
      </c>
      <c r="D17" s="4" t="inlineStr">
        <is>
          <t>Lucas</t>
        </is>
      </c>
      <c r="E17" s="3" t="inlineStr">
        <is>
          <t>IT</t>
        </is>
      </c>
      <c r="F17" s="9" t="inlineStr">
        <is>
          <t>01/12/2026</t>
        </is>
      </c>
      <c r="G17" s="9" t="inlineStr">
        <is>
          <t>24/12/2026</t>
        </is>
      </c>
      <c r="H17" s="3">
        <f>NETWORKDAYS(F17,G17)</f>
        <v/>
      </c>
      <c r="I17" s="3" t="inlineStr">
        <is>
          <t>CP</t>
        </is>
      </c>
      <c r="J17" s="3" t="inlineStr">
        <is>
          <t>Validé</t>
        </is>
      </c>
      <c r="K17" s="3" t="inlineStr">
        <is>
          <t>Petit</t>
        </is>
      </c>
      <c r="L17" s="9" t="inlineStr">
        <is>
          <t>15/11/2026</t>
        </is>
      </c>
      <c r="M17" s="4" t="inlineStr">
        <is>
          <t>Congés fin d'année</t>
        </is>
      </c>
      <c r="N17" s="3">
        <f>IF(J17="Validé",H17,0)</f>
        <v/>
      </c>
      <c r="O17" s="3">
        <f>YEAR(F17)</f>
        <v/>
      </c>
    </row>
    <row r="18">
      <c r="A18" s="11" t="inlineStr">
        <is>
          <t>D016</t>
        </is>
      </c>
      <c r="B18" s="11" t="inlineStr">
        <is>
          <t>M008</t>
        </is>
      </c>
      <c r="C18" s="12" t="inlineStr">
        <is>
          <t>Fournier</t>
        </is>
      </c>
      <c r="D18" s="12" t="inlineStr">
        <is>
          <t>Nicolas</t>
        </is>
      </c>
      <c r="E18" s="11" t="inlineStr">
        <is>
          <t>Commercial</t>
        </is>
      </c>
      <c r="F18" s="16" t="inlineStr">
        <is>
          <t>10/10/2026</t>
        </is>
      </c>
      <c r="G18" s="16" t="inlineStr">
        <is>
          <t>24/10/2026</t>
        </is>
      </c>
      <c r="H18" s="11">
        <f>NETWORKDAYS(F18,G18)</f>
        <v/>
      </c>
      <c r="I18" s="11" t="inlineStr">
        <is>
          <t>CP</t>
        </is>
      </c>
      <c r="J18" s="17" t="inlineStr">
        <is>
          <t>Validé</t>
        </is>
      </c>
      <c r="K18" s="11" t="inlineStr">
        <is>
          <t>Leroy</t>
        </is>
      </c>
      <c r="L18" s="5" t="inlineStr">
        <is>
          <t>01/10/2026</t>
        </is>
      </c>
      <c r="M18" s="12" t="inlineStr">
        <is>
          <t>Congés automne</t>
        </is>
      </c>
      <c r="N18" s="11">
        <f>IF(J18="Validé",H18,0)</f>
        <v/>
      </c>
      <c r="O18" s="11">
        <f>YEAR(F18)</f>
        <v/>
      </c>
    </row>
    <row r="19">
      <c r="A19" s="3" t="inlineStr">
        <is>
          <t>D017</t>
        </is>
      </c>
      <c r="B19" s="3" t="inlineStr">
        <is>
          <t>M002</t>
        </is>
      </c>
      <c r="C19" s="4" t="inlineStr">
        <is>
          <t>Bernard</t>
        </is>
      </c>
      <c r="D19" s="4" t="inlineStr">
        <is>
          <t>Julien</t>
        </is>
      </c>
      <c r="E19" s="3" t="inlineStr">
        <is>
          <t>Commercial</t>
        </is>
      </c>
      <c r="F19" s="9" t="inlineStr">
        <is>
          <t>05/11/2026</t>
        </is>
      </c>
      <c r="G19" s="9" t="inlineStr">
        <is>
          <t>10/11/2026</t>
        </is>
      </c>
      <c r="H19" s="3">
        <f>NETWORKDAYS(F19,G19)</f>
        <v/>
      </c>
      <c r="I19" s="3" t="inlineStr">
        <is>
          <t>CP</t>
        </is>
      </c>
      <c r="J19" s="3" t="inlineStr">
        <is>
          <t>En attente</t>
        </is>
      </c>
      <c r="K19" s="3" t="inlineStr"/>
      <c r="L19" s="3" t="inlineStr"/>
      <c r="M19" s="4" t="inlineStr">
        <is>
          <t>Demande récente</t>
        </is>
      </c>
      <c r="N19" s="3">
        <f>IF(J19="Validé",H19,0)</f>
        <v/>
      </c>
      <c r="O19" s="3">
        <f>YEAR(F19)</f>
        <v/>
      </c>
    </row>
  </sheetData>
  <mergeCells count="1">
    <mergeCell ref="A1:O1"/>
  </mergeCells>
  <conditionalFormatting sqref="J3:J19">
    <cfRule type="expression" priority="1" dxfId="0" stopIfTrue="1">
      <formula>J3="Refusé"</formula>
    </cfRule>
    <cfRule type="expression" priority="2" dxfId="1" stopIfTrue="1">
      <formula>J3="Validé"</formula>
    </cfRule>
  </conditionalFormatting>
  <dataValidations count="2">
    <dataValidation sqref="J3:J19" showErrorMessage="1" showInputMessage="1" allowBlank="1" type="list">
      <formula1>"Validé,En attente,Refusé"</formula1>
    </dataValidation>
    <dataValidation sqref="I3:I19" showErrorMessage="1" showInputMessage="1" allowBlank="1" type="list">
      <formula1>"CP,RTT,Sans solde,Ancienneté,Fractionnement"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3" customWidth="1" min="3" max="3"/>
    <col width="14" customWidth="1" min="4" max="4"/>
    <col width="14" customWidth="1" min="5" max="5"/>
    <col width="12" customWidth="1" min="6" max="6"/>
    <col width="14" customWidth="1" min="7" max="7"/>
    <col width="12" customWidth="1" min="8" max="8"/>
  </cols>
  <sheetData>
    <row r="1" ht="26" customHeight="1">
      <c r="A1" s="1" t="inlineStr">
        <is>
          <t>TABLEAU DE BORD RH - CONGÉS 2026</t>
        </is>
      </c>
    </row>
    <row r="3">
      <c r="A3" s="18" t="inlineStr">
        <is>
          <t>INDICATEURS CLÉS</t>
        </is>
      </c>
      <c r="D3" s="18" t="inlineStr">
        <is>
          <t>CONGÉS PRIS PAR SERVICE</t>
        </is>
      </c>
      <c r="G3" s="18" t="inlineStr">
        <is>
          <t>RÉPARTITION DES STATUTS</t>
        </is>
      </c>
    </row>
    <row r="4">
      <c r="A4" s="19" t="inlineStr">
        <is>
          <t>Total congés acquis</t>
        </is>
      </c>
      <c r="B4" s="20">
        <f>SUM('Suivi congés'!I3:I12)</f>
        <v/>
      </c>
      <c r="D4" s="21" t="inlineStr">
        <is>
          <t>Service</t>
        </is>
      </c>
      <c r="E4" s="21" t="inlineStr">
        <is>
          <t>Jours pris</t>
        </is>
      </c>
      <c r="G4" s="21" t="inlineStr">
        <is>
          <t>Statut</t>
        </is>
      </c>
      <c r="H4" s="21" t="inlineStr">
        <is>
          <t>Nombre</t>
        </is>
      </c>
    </row>
    <row r="5">
      <c r="A5" s="19" t="inlineStr">
        <is>
          <t>Total congés pris</t>
        </is>
      </c>
      <c r="B5" s="20">
        <f>SUM('Suivi congés'!J3:J12)</f>
        <v/>
      </c>
      <c r="D5" s="22" t="inlineStr">
        <is>
          <t>RH</t>
        </is>
      </c>
      <c r="E5" s="23">
        <f>SUMIF('Suivi congés'!$D$3:$D$12,D5,'Suivi congés'!$J$3:$J$12)</f>
        <v/>
      </c>
      <c r="G5" s="22" t="inlineStr">
        <is>
          <t>Validé</t>
        </is>
      </c>
      <c r="H5" s="22">
        <f>COUNTIF('Demandes de congés'!$J$3:$J$19,G5)</f>
        <v/>
      </c>
    </row>
    <row r="6">
      <c r="A6" s="19" t="inlineStr">
        <is>
          <t>Total en attente</t>
        </is>
      </c>
      <c r="B6" s="20">
        <f>SUM('Suivi congés'!K3:K12)</f>
        <v/>
      </c>
      <c r="D6" s="22" t="inlineStr">
        <is>
          <t>Commercial</t>
        </is>
      </c>
      <c r="E6" s="23">
        <f>SUMIF('Suivi congés'!$D$3:$D$12,D6,'Suivi congés'!$J$3:$J$12)</f>
        <v/>
      </c>
      <c r="G6" s="22" t="inlineStr">
        <is>
          <t>En attente</t>
        </is>
      </c>
      <c r="H6" s="22">
        <f>COUNTIF('Demandes de congés'!$J$3:$J$19,G6)</f>
        <v/>
      </c>
    </row>
    <row r="7">
      <c r="A7" s="19" t="inlineStr">
        <is>
          <t>Solde moyen</t>
        </is>
      </c>
      <c r="B7" s="20">
        <f>AVERAGE('Suivi congés'!L3:L12)</f>
        <v/>
      </c>
      <c r="D7" s="22" t="inlineStr">
        <is>
          <t>Marketing</t>
        </is>
      </c>
      <c r="E7" s="23">
        <f>SUMIF('Suivi congés'!$D$3:$D$12,D7,'Suivi congés'!$J$3:$J$12)</f>
        <v/>
      </c>
      <c r="G7" s="22" t="inlineStr">
        <is>
          <t>Refusé</t>
        </is>
      </c>
      <c r="H7" s="22">
        <f>COUNTIF('Demandes de congés'!$J$3:$J$19,G7)</f>
        <v/>
      </c>
    </row>
    <row r="8">
      <c r="A8" s="19" t="inlineStr">
        <is>
          <t>Nb salariés en alerte</t>
        </is>
      </c>
      <c r="B8" s="24">
        <f>COUNTIF('Suivi congés'!N3:N12,"Alerte")</f>
        <v/>
      </c>
      <c r="D8" s="22" t="inlineStr">
        <is>
          <t>IT</t>
        </is>
      </c>
      <c r="E8" s="23">
        <f>SUMIF('Suivi congés'!$D$3:$D$12,D8,'Suivi congés'!$J$3:$J$12)</f>
        <v/>
      </c>
    </row>
    <row r="9">
      <c r="A9" s="19" t="inlineStr">
        <is>
          <t>Nb à surveiller</t>
        </is>
      </c>
      <c r="B9" s="24">
        <f>COUNTIF('Suivi congés'!N3:N12,"À surveiller")</f>
        <v/>
      </c>
      <c r="D9" s="22" t="inlineStr">
        <is>
          <t>Finance</t>
        </is>
      </c>
      <c r="E9" s="23">
        <f>SUMIF('Suivi congés'!$D$3:$D$12,D9,'Suivi congés'!$J$3:$J$12)</f>
        <v/>
      </c>
    </row>
    <row r="10">
      <c r="D10" s="22" t="inlineStr">
        <is>
          <t>Logistique</t>
        </is>
      </c>
      <c r="E10" s="23">
        <f>SUMIF('Suivi congés'!$D$3:$D$12,D10,'Suivi congés'!$J$3:$J$12)</f>
        <v/>
      </c>
    </row>
    <row r="12">
      <c r="A12" s="18" t="inlineStr">
        <is>
          <t>ÉVOLUTION MENSUELLE DES CONGÉS VALIDÉS 2026</t>
        </is>
      </c>
      <c r="D12" s="18" t="inlineStr">
        <is>
          <t>TOP 5 - CONGÉS POSÉS</t>
        </is>
      </c>
    </row>
    <row r="13">
      <c r="A13" s="21" t="inlineStr">
        <is>
          <t>Mois</t>
        </is>
      </c>
      <c r="B13" s="21" t="inlineStr">
        <is>
          <t>Jours validés</t>
        </is>
      </c>
      <c r="D13" s="2" t="inlineStr">
        <is>
          <t>Rang</t>
        </is>
      </c>
      <c r="E13" s="2" t="inlineStr">
        <is>
          <t>Jours pris</t>
        </is>
      </c>
      <c r="F13" s="2" t="inlineStr">
        <is>
          <t>Matricule</t>
        </is>
      </c>
      <c r="G13" s="2" t="inlineStr">
        <is>
          <t>Nom</t>
        </is>
      </c>
      <c r="H13" s="2" t="inlineStr">
        <is>
          <t>Prénom</t>
        </is>
      </c>
    </row>
    <row r="14">
      <c r="A14" s="22" t="inlineStr">
        <is>
          <t>Janvier</t>
        </is>
      </c>
      <c r="B14" s="23">
        <f>SUMPRODUCT((MONTH('Demandes de congés'!$F$3:$F$19)=1)*('Demandes de congés'!$J$3:$J$19="Validé")*('Demandes de congés'!$H$3:$H$19))</f>
        <v/>
      </c>
      <c r="D14" s="22" t="n">
        <v>1</v>
      </c>
      <c r="E14" s="23">
        <f>IFERROR(LARGE('Suivi congés'!$J$3:$J$12,1),0)</f>
        <v/>
      </c>
      <c r="F14" s="22">
        <f>IFERROR(INDEX('Suivi congés'!$A$3:$A$12,MATCH(E14,'Suivi congés'!$J$3:$J$12,0)),"")</f>
        <v/>
      </c>
      <c r="G14" s="22">
        <f>IFERROR(VLOOKUP(F14,'Suivi congés'!$A$3:$C$12,2,0),"")</f>
        <v/>
      </c>
      <c r="H14" s="22">
        <f>IFERROR(VLOOKUP(F14,'Suivi congés'!$A$3:$C$12,3,0),"")</f>
        <v/>
      </c>
    </row>
    <row r="15">
      <c r="A15" s="22" t="inlineStr">
        <is>
          <t>Février</t>
        </is>
      </c>
      <c r="B15" s="23">
        <f>SUMPRODUCT((MONTH('Demandes de congés'!$F$3:$F$19)=2)*('Demandes de congés'!$J$3:$J$19="Validé")*('Demandes de congés'!$H$3:$H$19))</f>
        <v/>
      </c>
      <c r="D15" s="22" t="n">
        <v>2</v>
      </c>
      <c r="E15" s="23">
        <f>IFERROR(LARGE('Suivi congés'!$J$3:$J$12,2),0)</f>
        <v/>
      </c>
      <c r="F15" s="22">
        <f>IFERROR(INDEX('Suivi congés'!$A$3:$A$12,MATCH(E15,'Suivi congés'!$J$3:$J$12,0)),"")</f>
        <v/>
      </c>
      <c r="G15" s="22">
        <f>IFERROR(VLOOKUP(F15,'Suivi congés'!$A$3:$C$12,2,0),"")</f>
        <v/>
      </c>
      <c r="H15" s="22">
        <f>IFERROR(VLOOKUP(F15,'Suivi congés'!$A$3:$C$12,3,0),"")</f>
        <v/>
      </c>
    </row>
    <row r="16">
      <c r="A16" s="22" t="inlineStr">
        <is>
          <t>Mars</t>
        </is>
      </c>
      <c r="B16" s="23">
        <f>SUMPRODUCT((MONTH('Demandes de congés'!$F$3:$F$19)=3)*('Demandes de congés'!$J$3:$J$19="Validé")*('Demandes de congés'!$H$3:$H$19))</f>
        <v/>
      </c>
      <c r="D16" s="22" t="n">
        <v>3</v>
      </c>
      <c r="E16" s="23">
        <f>IFERROR(LARGE('Suivi congés'!$J$3:$J$12,3),0)</f>
        <v/>
      </c>
      <c r="F16" s="22">
        <f>IFERROR(INDEX('Suivi congés'!$A$3:$A$12,MATCH(E16,'Suivi congés'!$J$3:$J$12,0)),"")</f>
        <v/>
      </c>
      <c r="G16" s="22">
        <f>IFERROR(VLOOKUP(F16,'Suivi congés'!$A$3:$C$12,2,0),"")</f>
        <v/>
      </c>
      <c r="H16" s="22">
        <f>IFERROR(VLOOKUP(F16,'Suivi congés'!$A$3:$C$12,3,0),"")</f>
        <v/>
      </c>
    </row>
    <row r="17">
      <c r="A17" s="22" t="inlineStr">
        <is>
          <t>Avril</t>
        </is>
      </c>
      <c r="B17" s="23">
        <f>SUMPRODUCT((MONTH('Demandes de congés'!$F$3:$F$19)=4)*('Demandes de congés'!$J$3:$J$19="Validé")*('Demandes de congés'!$H$3:$H$19))</f>
        <v/>
      </c>
      <c r="D17" s="22" t="n">
        <v>4</v>
      </c>
      <c r="E17" s="23">
        <f>IFERROR(LARGE('Suivi congés'!$J$3:$J$12,4),0)</f>
        <v/>
      </c>
      <c r="F17" s="22">
        <f>IFERROR(INDEX('Suivi congés'!$A$3:$A$12,MATCH(E17,'Suivi congés'!$J$3:$J$12,0)),"")</f>
        <v/>
      </c>
      <c r="G17" s="22">
        <f>IFERROR(VLOOKUP(F17,'Suivi congés'!$A$3:$C$12,2,0),"")</f>
        <v/>
      </c>
      <c r="H17" s="22">
        <f>IFERROR(VLOOKUP(F17,'Suivi congés'!$A$3:$C$12,3,0),"")</f>
        <v/>
      </c>
    </row>
    <row r="18">
      <c r="A18" s="22" t="inlineStr">
        <is>
          <t>Mai</t>
        </is>
      </c>
      <c r="B18" s="23">
        <f>SUMPRODUCT((MONTH('Demandes de congés'!$F$3:$F$19)=5)*('Demandes de congés'!$J$3:$J$19="Validé")*('Demandes de congés'!$H$3:$H$19))</f>
        <v/>
      </c>
      <c r="D18" s="22" t="n">
        <v>5</v>
      </c>
      <c r="E18" s="23">
        <f>IFERROR(LARGE('Suivi congés'!$J$3:$J$12,5),0)</f>
        <v/>
      </c>
      <c r="F18" s="22">
        <f>IFERROR(INDEX('Suivi congés'!$A$3:$A$12,MATCH(E18,'Suivi congés'!$J$3:$J$12,0)),"")</f>
        <v/>
      </c>
      <c r="G18" s="22">
        <f>IFERROR(VLOOKUP(F18,'Suivi congés'!$A$3:$C$12,2,0),"")</f>
        <v/>
      </c>
      <c r="H18" s="22">
        <f>IFERROR(VLOOKUP(F18,'Suivi congés'!$A$3:$C$12,3,0),"")</f>
        <v/>
      </c>
    </row>
    <row r="19">
      <c r="A19" s="22" t="inlineStr">
        <is>
          <t>Juin</t>
        </is>
      </c>
      <c r="B19" s="23">
        <f>SUMPRODUCT((MONTH('Demandes de congés'!$F$3:$F$19)=6)*('Demandes de congés'!$J$3:$J$19="Validé")*('Demandes de congés'!$H$3:$H$19))</f>
        <v/>
      </c>
    </row>
    <row r="20">
      <c r="A20" s="22" t="inlineStr">
        <is>
          <t>Juillet</t>
        </is>
      </c>
      <c r="B20" s="23">
        <f>SUMPRODUCT((MONTH('Demandes de congés'!$F$3:$F$19)=7)*('Demandes de congés'!$J$3:$J$19="Validé")*('Demandes de congés'!$H$3:$H$19))</f>
        <v/>
      </c>
    </row>
    <row r="21">
      <c r="A21" s="22" t="inlineStr">
        <is>
          <t>Août</t>
        </is>
      </c>
      <c r="B21" s="23">
        <f>SUMPRODUCT((MONTH('Demandes de congés'!$F$3:$F$19)=8)*('Demandes de congés'!$J$3:$J$19="Validé")*('Demandes de congés'!$H$3:$H$19))</f>
        <v/>
      </c>
    </row>
    <row r="22">
      <c r="A22" s="22" t="inlineStr">
        <is>
          <t>Septembre</t>
        </is>
      </c>
      <c r="B22" s="23">
        <f>SUMPRODUCT((MONTH('Demandes de congés'!$F$3:$F$19)=9)*('Demandes de congés'!$J$3:$J$19="Validé")*('Demandes de congés'!$H$3:$H$19))</f>
        <v/>
      </c>
    </row>
    <row r="23">
      <c r="A23" s="22" t="inlineStr">
        <is>
          <t>Octobre</t>
        </is>
      </c>
      <c r="B23" s="23">
        <f>SUMPRODUCT((MONTH('Demandes de congés'!$F$3:$F$19)=10)*('Demandes de congés'!$J$3:$J$19="Validé")*('Demandes de congés'!$H$3:$H$19))</f>
        <v/>
      </c>
    </row>
    <row r="24">
      <c r="A24" s="22" t="inlineStr">
        <is>
          <t>Novembre</t>
        </is>
      </c>
      <c r="B24" s="23">
        <f>SUMPRODUCT((MONTH('Demandes de congés'!$F$3:$F$19)=11)*('Demandes de congés'!$J$3:$J$19="Validé")*('Demandes de congés'!$H$3:$H$19))</f>
        <v/>
      </c>
    </row>
    <row r="25">
      <c r="A25" s="22" t="inlineStr">
        <is>
          <t>Décembre</t>
        </is>
      </c>
      <c r="B25" s="23">
        <f>SUMPRODUCT((MONTH('Demandes de congés'!$F$3:$F$19)=12)*('Demandes de congés'!$J$3:$J$19="Validé")*('Demandes de congés'!$H$3:$H$19))</f>
        <v/>
      </c>
    </row>
  </sheetData>
  <mergeCells count="6">
    <mergeCell ref="A1:H1"/>
    <mergeCell ref="A3:B3"/>
    <mergeCell ref="D3:E3"/>
    <mergeCell ref="G3:H3"/>
    <mergeCell ref="A12:B12"/>
    <mergeCell ref="D12:H12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30" customWidth="1" min="1" max="1"/>
    <col width="25" customWidth="1" min="2" max="2"/>
    <col width="25" customWidth="1" min="3" max="3"/>
    <col width="25" customWidth="1" min="4" max="4"/>
  </cols>
  <sheetData>
    <row r="1" ht="26" customHeight="1">
      <c r="A1" s="1" t="inlineStr">
        <is>
          <t>MODE D'EMPLOI - SUIVI DES CONGÉS</t>
        </is>
      </c>
    </row>
    <row r="3">
      <c r="A3" s="25" t="inlineStr">
        <is>
          <t>Présentation générale</t>
        </is>
      </c>
    </row>
    <row r="4">
      <c r="A4" s="26" t="inlineStr">
        <is>
          <t>Ce classeur permet de suivre les soldes de congés payés (CP) de vos salariés</t>
        </is>
      </c>
    </row>
    <row r="5">
      <c r="A5" s="26" t="inlineStr">
        <is>
          <t>sur l'année 2026, ainsi que l'historique des demandes de congés.</t>
        </is>
      </c>
    </row>
    <row r="6">
      <c r="A6" s="26" t="inlineStr">
        <is>
          <t>Il comprend 4 feuilles : Suivi congés, Demandes de congés, Synthèse et Mode d'emploi.</t>
        </is>
      </c>
    </row>
    <row r="8">
      <c r="A8" s="25" t="inlineStr">
        <is>
          <t>Feuille Suivi congés</t>
        </is>
      </c>
    </row>
    <row r="9">
      <c r="A9" s="26" t="inlineStr">
        <is>
          <t>Une ligne par salarié. Les colonnes en fond jaune pâle (Solde initial, Commentaire)</t>
        </is>
      </c>
    </row>
    <row r="10">
      <c r="A10" s="26" t="inlineStr">
        <is>
          <t>sont à saisir manuellement. Les autres colonnes se calculent automatiquement :</t>
        </is>
      </c>
    </row>
    <row r="11">
      <c r="A11" s="26" t="inlineStr">
        <is>
          <t>- Congés acquis 2026 : base de 2,5 jours ouvrables par mois travaillé sur l'année.</t>
        </is>
      </c>
    </row>
    <row r="12">
      <c r="A12" s="26" t="inlineStr">
        <is>
          <t>- Congés pris / en attente : agrégés depuis la feuille Demandes de congés.</t>
        </is>
      </c>
    </row>
    <row r="13">
      <c r="A13" s="26" t="inlineStr">
        <is>
          <t>- Solde restant = Solde initial + Congés acquis - Congés pris - Congés en attente.</t>
        </is>
      </c>
    </row>
    <row r="14">
      <c r="A14" s="26" t="inlineStr">
        <is>
          <t>- Statut : Alerte si solde négatif, À surveiller si solde &lt; 5 jours, sinon OK.</t>
        </is>
      </c>
    </row>
    <row r="16">
      <c r="A16" s="25" t="inlineStr">
        <is>
          <t>Feuille Demandes de congés</t>
        </is>
      </c>
    </row>
    <row r="17">
      <c r="A17" s="26" t="inlineStr">
        <is>
          <t>Une ligne par demande de congé. Saisir les dates de début/fin, le type de congé</t>
        </is>
      </c>
    </row>
    <row r="18">
      <c r="A18" s="26" t="inlineStr">
        <is>
          <t>et le statut (Validé, En attente, Refusé) via la liste déroulante.</t>
        </is>
      </c>
    </row>
    <row r="19">
      <c r="A19" s="26" t="inlineStr">
        <is>
          <t>Le nombre de jours ouvrés est calculé automatiquement (hors week-ends).</t>
        </is>
      </c>
    </row>
    <row r="20">
      <c r="A20" s="26" t="inlineStr">
        <is>
          <t>Seules les demandes 'Validé' impactent le solde restant du salarié.</t>
        </is>
      </c>
    </row>
    <row r="22">
      <c r="A22" s="25" t="inlineStr">
        <is>
          <t>Feuille Synthèse</t>
        </is>
      </c>
    </row>
    <row r="23">
      <c r="A23" s="26" t="inlineStr">
        <is>
          <t>Tableau de bord RH : indicateurs clés, répartition par service et par statut,</t>
        </is>
      </c>
    </row>
    <row r="24">
      <c r="A24" s="26" t="inlineStr">
        <is>
          <t>évolution mensuelle des congés validés et top 5 des salariés ayant posé le plus</t>
        </is>
      </c>
    </row>
    <row r="25">
      <c r="A25" s="26" t="inlineStr">
        <is>
          <t>de congés. Les graphiques se mettent à jour automatiquement.</t>
        </is>
      </c>
    </row>
    <row r="27">
      <c r="A27" s="25" t="inlineStr">
        <is>
          <t>Code couleur</t>
        </is>
      </c>
    </row>
    <row r="28">
      <c r="A28" s="26" t="inlineStr">
        <is>
          <t>Rouge : solde négatif ou statut Alerte / Refusé.</t>
        </is>
      </c>
    </row>
    <row r="29">
      <c r="A29" s="26" t="inlineStr">
        <is>
          <t>Vert : solde positif ou statut OK / Validé.</t>
        </is>
      </c>
    </row>
    <row r="30">
      <c r="A30" s="26" t="inlineStr">
        <is>
          <t>Fond jaune pâle : cellule à saisir manuellement.</t>
        </is>
      </c>
    </row>
    <row r="31">
      <c r="A31" s="26" t="inlineStr">
        <is>
          <t>Fond rose/blanc alterné : lecture facilitée des lignes.</t>
        </is>
      </c>
    </row>
    <row r="32">
      <c r="A32" s="26" t="inlineStr">
        <is>
          <t>Fond bleu (teal) : indicateurs clés (KPI) et totaux.</t>
        </is>
      </c>
    </row>
    <row r="34">
      <c r="A34" s="25" t="inlineStr">
        <is>
          <t>Règles de saisie</t>
        </is>
      </c>
    </row>
    <row r="35">
      <c r="A35" s="26" t="inlineStr">
        <is>
          <t>Toutes les dates doivent être saisies au format JJ/MM/AAAA.</t>
        </is>
      </c>
    </row>
    <row r="36">
      <c r="A36" s="26" t="inlineStr">
        <is>
          <t>Les montants, si utilisés, sont exprimés en euros (1 234,56 €).</t>
        </is>
      </c>
    </row>
    <row r="37">
      <c r="A37" s="26" t="inlineStr">
        <is>
          <t>Les congés payés sont acquis à raison de 2,5 jours ouvrables par mois</t>
        </is>
      </c>
    </row>
    <row r="38">
      <c r="A38" s="26" t="inlineStr">
        <is>
          <t>de présence, selon la pratique standard en France (soit 30 jours/an).</t>
        </is>
      </c>
    </row>
    <row r="39">
      <c r="A39" s="26" t="inlineStr">
        <is>
          <t>Ne pas modifier les colonnes calculées (formules) pour préserver la fiabilité.</t>
        </is>
      </c>
    </row>
  </sheetData>
  <mergeCells count="33">
    <mergeCell ref="A1:D1"/>
    <mergeCell ref="A3:D3"/>
    <mergeCell ref="A4:D4"/>
    <mergeCell ref="A5:D5"/>
    <mergeCell ref="A6:D6"/>
    <mergeCell ref="A8:D8"/>
    <mergeCell ref="A9:D9"/>
    <mergeCell ref="A10:D10"/>
    <mergeCell ref="A11:D11"/>
    <mergeCell ref="A12:D12"/>
    <mergeCell ref="A13:D13"/>
    <mergeCell ref="A14:D14"/>
    <mergeCell ref="A16:D16"/>
    <mergeCell ref="A17:D17"/>
    <mergeCell ref="A18:D18"/>
    <mergeCell ref="A19:D19"/>
    <mergeCell ref="A20:D20"/>
    <mergeCell ref="A22:D22"/>
    <mergeCell ref="A23:D23"/>
    <mergeCell ref="A24:D24"/>
    <mergeCell ref="A25:D25"/>
    <mergeCell ref="A27:D27"/>
    <mergeCell ref="A28:D28"/>
    <mergeCell ref="A29:D29"/>
    <mergeCell ref="A30:D30"/>
    <mergeCell ref="A31:D31"/>
    <mergeCell ref="A32:D32"/>
    <mergeCell ref="A34:D34"/>
    <mergeCell ref="A35:D35"/>
    <mergeCell ref="A36:D36"/>
    <mergeCell ref="A37:D37"/>
    <mergeCell ref="A38:D38"/>
    <mergeCell ref="A39:D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2026-07-09T14:38:37Z</dcterms:created>
  <dcterms:modified xmlns:dcterms="http://purl.org/dc/terms/" xmlns:xsi="http://www.w3.org/2001/XMLSchema-instance" xsi:type="dcterms:W3CDTF">2026-07-09T14:38:37Z</dcterms:modified>
</cp:coreProperties>
</file>