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Train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JJ/MM/AAAA"/>
    <numFmt numFmtId="166" formatCode="HH:MM"/>
    <numFmt numFmtId="167" formatCode="0.0%"/>
    <numFmt numFmtId="168" formatCode="0.0"/>
    <numFmt numFmtId="169" formatCode="# ##0"/>
  </numFmts>
  <fonts count="5">
    <font>
      <name val="Calibri"/>
      <family val="2"/>
      <color theme="1"/>
      <sz val="11"/>
      <scheme val="minor"/>
    </font>
    <font>
      <b val="1"/>
      <color rgb="00E11D48"/>
      <sz val="16"/>
    </font>
    <font>
      <b val="1"/>
      <color rgb="00FFFFFF"/>
      <sz val="11"/>
    </font>
    <font>
      <b val="1"/>
    </font>
    <font>
      <b val="1"/>
      <color rgb="000891B2"/>
      <sz val="12"/>
    </font>
  </fonts>
  <fills count="8">
    <fill>
      <patternFill/>
    </fill>
    <fill>
      <patternFill patternType="gray125"/>
    </fill>
    <fill>
      <patternFill patternType="solid">
        <fgColor rgb="00E11D48"/>
        <bgColor rgb="00E11D48"/>
      </patternFill>
    </fill>
    <fill>
      <patternFill patternType="solid">
        <fgColor rgb="00FFFBEB"/>
        <bgColor rgb="00FFFBEB"/>
      </patternFill>
    </fill>
    <fill>
      <patternFill patternType="solid">
        <fgColor rgb="00FDF0F3"/>
        <bgColor rgb="00FDF0F3"/>
      </patternFill>
    </fill>
    <fill>
      <patternFill patternType="solid">
        <fgColor rgb="00FFFFFF"/>
        <bgColor rgb="00FFFFFF"/>
      </patternFill>
    </fill>
    <fill>
      <patternFill patternType="solid">
        <fgColor rgb="00BE123C"/>
        <bgColor rgb="00BE123C"/>
      </patternFill>
    </fill>
    <fill>
      <patternFill patternType="solid">
        <fgColor rgb="000891B2"/>
        <bgColor rgb="000891B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7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/>
    </xf>
    <xf numFmtId="168" fontId="2" fillId="7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169" fontId="2" fillId="7" borderId="1" applyAlignment="1" pivotButton="0" quotePrefix="0" xfId="0">
      <alignment horizontal="center" vertical="center"/>
    </xf>
    <xf numFmtId="167" fontId="2" fillId="7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3" fillId="4" borderId="1" pivotButton="0" quotePrefix="0" xfId="0"/>
    <xf numFmtId="1" fontId="4" fillId="0" borderId="1" applyAlignment="1" pivotButton="0" quotePrefix="0" xfId="0">
      <alignment horizontal="center" vertical="center"/>
    </xf>
    <xf numFmtId="0" fontId="2" fillId="6" borderId="0" pivotButton="0" quotePrefix="0" xfId="0"/>
    <xf numFmtId="0" fontId="3" fillId="5" borderId="1" pivotButton="0" quotePrefix="0" xfId="0"/>
    <xf numFmtId="168" fontId="4" fillId="0" borderId="1" applyAlignment="1" pivotButton="0" quotePrefix="0" xfId="0">
      <alignment horizontal="center" vertical="center"/>
    </xf>
    <xf numFmtId="0" fontId="0" fillId="4" borderId="1" pivotButton="0" quotePrefix="0" xfId="0"/>
    <xf numFmtId="167" fontId="4" fillId="0" borderId="1" applyAlignment="1" pivotButton="0" quotePrefix="0" xfId="0">
      <alignment horizontal="center" vertical="center"/>
    </xf>
    <xf numFmtId="0" fontId="0" fillId="5" borderId="1" pivotButton="0" quotePrefix="0" xfId="0"/>
    <xf numFmtId="169" fontId="4" fillId="0" borderId="1" applyAlignment="1" pivotButton="0" quotePrefix="0" xfId="0">
      <alignment horizontal="center" vertical="center"/>
    </xf>
    <xf numFmtId="1" fontId="0" fillId="4" borderId="1" pivotButton="0" quotePrefix="0" xfId="0"/>
    <xf numFmtId="1" fontId="0" fillId="5" borderId="1" pivotButton="0" quotePrefix="0" xfId="0"/>
    <xf numFmtId="0" fontId="2" fillId="6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F3C7"/>
          <b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trains par statut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'Tableau de bord'!$D$4:$D$7</f>
            </numRef>
          </cat>
          <val>
            <numRef>
              <f>'Tableau de bord'!$E$4:$E$7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Retard (min) par ligne ferroviaire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bord'!E10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bord'!$D$11:$D$20</f>
            </numRef>
          </cat>
          <val>
            <numRef>
              <f>'Tableau de bord'!$E$11:$E$20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Ligne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Retard (min)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5" customWidth="1" min="3" max="3"/>
    <col width="15" customWidth="1" min="4" max="4"/>
    <col width="12" customWidth="1" min="5" max="5"/>
    <col width="16" customWidth="1" min="6" max="6"/>
    <col width="16" customWidth="1" min="7" max="7"/>
    <col width="16" customWidth="1" min="8" max="8"/>
    <col width="13" customWidth="1" min="9" max="9"/>
    <col width="17" customWidth="1" min="10" max="10"/>
    <col width="18" customWidth="1" min="11" max="11"/>
    <col width="8" customWidth="1" min="12" max="12"/>
    <col width="15" customWidth="1" min="13" max="13"/>
    <col width="12" customWidth="1" min="14" max="14"/>
    <col width="15" customWidth="1" min="15" max="15"/>
    <col width="3" customWidth="1" min="16" max="16"/>
    <col width="16" customWidth="1" min="17" max="17"/>
    <col width="16" customWidth="1" min="18" max="18"/>
  </cols>
  <sheetData>
    <row r="1" ht="26" customHeight="1">
      <c r="A1" s="1" t="inlineStr">
        <is>
          <t>PLANNING CHEMIN DE FER — SUIVI DES CIRCULATIONS FERROVIAIRES</t>
        </is>
      </c>
    </row>
    <row r="2" ht="32" customHeight="1">
      <c r="A2" s="2" t="inlineStr">
        <is>
          <t>N° Train</t>
        </is>
      </c>
      <c r="B2" s="2" t="inlineStr">
        <is>
          <t>Ligne</t>
        </is>
      </c>
      <c r="C2" s="2" t="inlineStr">
        <is>
          <t>Gare de départ</t>
        </is>
      </c>
      <c r="D2" s="2" t="inlineStr">
        <is>
          <t>Gare d'arrivée</t>
        </is>
      </c>
      <c r="E2" s="2" t="inlineStr">
        <is>
          <t>Date</t>
        </is>
      </c>
      <c r="F2" s="2" t="inlineStr">
        <is>
          <t>Heure départ prévue</t>
        </is>
      </c>
      <c r="G2" s="2" t="inlineStr">
        <is>
          <t>Heure arrivée prévue</t>
        </is>
      </c>
      <c r="H2" s="2" t="inlineStr">
        <is>
          <t>Heure départ réelle</t>
        </is>
      </c>
      <c r="I2" s="2" t="inlineStr">
        <is>
          <t>Retard (min)</t>
        </is>
      </c>
      <c r="J2" s="2" t="inlineStr">
        <is>
          <t>Statut</t>
        </is>
      </c>
      <c r="K2" s="2" t="inlineStr">
        <is>
          <t>Conducteur</t>
        </is>
      </c>
      <c r="L2" s="2" t="inlineStr">
        <is>
          <t>Quai</t>
        </is>
      </c>
      <c r="M2" s="2" t="inlineStr">
        <is>
          <t>Capacité (places)</t>
        </is>
      </c>
      <c r="N2" s="2" t="inlineStr">
        <is>
          <t>Passagers</t>
        </is>
      </c>
      <c r="O2" s="2" t="inlineStr">
        <is>
          <t>Taux remplissage</t>
        </is>
      </c>
      <c r="R2" s="3" t="inlineStr">
        <is>
          <t>Seuil retard (min)</t>
        </is>
      </c>
      <c r="S2" s="3" t="inlineStr">
        <is>
          <t>Statut</t>
        </is>
      </c>
    </row>
    <row r="3">
      <c r="A3" s="4" t="inlineStr">
        <is>
          <t>TGV 8501</t>
        </is>
      </c>
      <c r="B3" s="5" t="inlineStr">
        <is>
          <t>Paris - Lyon</t>
        </is>
      </c>
      <c r="C3" s="5" t="inlineStr">
        <is>
          <t>Paris</t>
        </is>
      </c>
      <c r="D3" s="5" t="inlineStr">
        <is>
          <t>Lyon</t>
        </is>
      </c>
      <c r="E3" s="6" t="n">
        <v>46217</v>
      </c>
      <c r="F3" s="7" t="n">
        <v>0.3020833333333333</v>
      </c>
      <c r="G3" s="7" t="n">
        <v>0.3819444444444444</v>
      </c>
      <c r="H3" s="7" t="n">
        <v>0.3020833333333333</v>
      </c>
      <c r="I3" s="8">
        <f>ROUND((H3-F3)*1440,0)</f>
        <v/>
      </c>
      <c r="J3" s="9">
        <f>IFERROR(VLOOKUP(I3,$R$3:$S$6,2,TRUE),"À l'heure")</f>
        <v/>
      </c>
      <c r="K3" s="5" t="inlineStr">
        <is>
          <t>Camille Dubois</t>
        </is>
      </c>
      <c r="L3" s="10" t="inlineStr">
        <is>
          <t>3</t>
        </is>
      </c>
      <c r="M3" s="10" t="n">
        <v>380</v>
      </c>
      <c r="N3" s="10" t="n">
        <v>342</v>
      </c>
      <c r="O3" s="11">
        <f>IFERROR(N3/M3,0)</f>
        <v/>
      </c>
      <c r="R3" s="9" t="n">
        <v>0</v>
      </c>
      <c r="S3" s="12" t="inlineStr">
        <is>
          <t>À l'heure</t>
        </is>
      </c>
    </row>
    <row r="4">
      <c r="A4" s="13" t="inlineStr">
        <is>
          <t>TGV 6607</t>
        </is>
      </c>
      <c r="B4" s="14" t="inlineStr">
        <is>
          <t>Lyon - Marseille</t>
        </is>
      </c>
      <c r="C4" s="14" t="inlineStr">
        <is>
          <t>Lyon</t>
        </is>
      </c>
      <c r="D4" s="14" t="inlineStr">
        <is>
          <t>Marseille</t>
        </is>
      </c>
      <c r="E4" s="15" t="n">
        <v>46217</v>
      </c>
      <c r="F4" s="16" t="n">
        <v>0.3472222222222222</v>
      </c>
      <c r="G4" s="16" t="n">
        <v>0.40625</v>
      </c>
      <c r="H4" s="16" t="n">
        <v>0.3520833333333334</v>
      </c>
      <c r="I4" s="8">
        <f>ROUND((H4-F4)*1440,0)</f>
        <v/>
      </c>
      <c r="J4" s="9">
        <f>IFERROR(VLOOKUP(I4,$R$3:$S$6,2,TRUE),"À l'heure")</f>
        <v/>
      </c>
      <c r="K4" s="14" t="inlineStr">
        <is>
          <t>Julien Martin</t>
        </is>
      </c>
      <c r="L4" s="17" t="inlineStr">
        <is>
          <t>1</t>
        </is>
      </c>
      <c r="M4" s="17" t="n">
        <v>320</v>
      </c>
      <c r="N4" s="17" t="n">
        <v>298</v>
      </c>
      <c r="O4" s="11">
        <f>IFERROR(N4/M4,0)</f>
        <v/>
      </c>
      <c r="R4" s="9" t="n">
        <v>6</v>
      </c>
      <c r="S4" s="12" t="inlineStr">
        <is>
          <t>Léger retard</t>
        </is>
      </c>
    </row>
    <row r="5">
      <c r="A5" s="4" t="inlineStr">
        <is>
          <t>TGV 5401</t>
        </is>
      </c>
      <c r="B5" s="5" t="inlineStr">
        <is>
          <t>Paris - Bordeaux</t>
        </is>
      </c>
      <c r="C5" s="5" t="inlineStr">
        <is>
          <t>Paris</t>
        </is>
      </c>
      <c r="D5" s="5" t="inlineStr">
        <is>
          <t>Bordeaux</t>
        </is>
      </c>
      <c r="E5" s="6" t="n">
        <v>46217</v>
      </c>
      <c r="F5" s="7" t="n">
        <v>0.375</v>
      </c>
      <c r="G5" s="7" t="n">
        <v>0.4618055555555556</v>
      </c>
      <c r="H5" s="7" t="n">
        <v>0.375</v>
      </c>
      <c r="I5" s="8">
        <f>ROUND((H5-F5)*1440,0)</f>
        <v/>
      </c>
      <c r="J5" s="9">
        <f>IFERROR(VLOOKUP(I5,$R$3:$S$6,2,TRUE),"À l'heure")</f>
        <v/>
      </c>
      <c r="K5" s="5" t="inlineStr">
        <is>
          <t>Émilie Bernard</t>
        </is>
      </c>
      <c r="L5" s="10" t="inlineStr">
        <is>
          <t>5</t>
        </is>
      </c>
      <c r="M5" s="10" t="n">
        <v>400</v>
      </c>
      <c r="N5" s="10" t="n">
        <v>210</v>
      </c>
      <c r="O5" s="11">
        <f>IFERROR(N5/M5,0)</f>
        <v/>
      </c>
      <c r="R5" s="9" t="n">
        <v>16</v>
      </c>
      <c r="S5" s="12" t="inlineStr">
        <is>
          <t>Retard</t>
        </is>
      </c>
    </row>
    <row r="6">
      <c r="A6" s="13" t="inlineStr">
        <is>
          <t>TGV 8823</t>
        </is>
      </c>
      <c r="B6" s="14" t="inlineStr">
        <is>
          <t>Paris - Toulouse</t>
        </is>
      </c>
      <c r="C6" s="14" t="inlineStr">
        <is>
          <t>Paris</t>
        </is>
      </c>
      <c r="D6" s="14" t="inlineStr">
        <is>
          <t>Toulouse</t>
        </is>
      </c>
      <c r="E6" s="15" t="n">
        <v>46217</v>
      </c>
      <c r="F6" s="16" t="n">
        <v>0.4375</v>
      </c>
      <c r="G6" s="16" t="n">
        <v>0.6111111111111112</v>
      </c>
      <c r="H6" s="16" t="n">
        <v>0.4493055555555556</v>
      </c>
      <c r="I6" s="8">
        <f>ROUND((H6-F6)*1440,0)</f>
        <v/>
      </c>
      <c r="J6" s="9">
        <f>IFERROR(VLOOKUP(I6,$R$3:$S$6,2,TRUE),"À l'heure")</f>
        <v/>
      </c>
      <c r="K6" s="14" t="inlineStr">
        <is>
          <t>Lucas Petit</t>
        </is>
      </c>
      <c r="L6" s="17" t="inlineStr">
        <is>
          <t>2</t>
        </is>
      </c>
      <c r="M6" s="17" t="n">
        <v>350</v>
      </c>
      <c r="N6" s="17" t="n">
        <v>330</v>
      </c>
      <c r="O6" s="11">
        <f>IFERROR(N6/M6,0)</f>
        <v/>
      </c>
      <c r="R6" s="9" t="n">
        <v>31</v>
      </c>
      <c r="S6" s="12" t="inlineStr">
        <is>
          <t>Retard important</t>
        </is>
      </c>
    </row>
    <row r="7">
      <c r="A7" s="4" t="inlineStr">
        <is>
          <t>TER 3312</t>
        </is>
      </c>
      <c r="B7" s="5" t="inlineStr">
        <is>
          <t>Lille - Paris</t>
        </is>
      </c>
      <c r="C7" s="5" t="inlineStr">
        <is>
          <t>Lille</t>
        </is>
      </c>
      <c r="D7" s="5" t="inlineStr">
        <is>
          <t>Paris</t>
        </is>
      </c>
      <c r="E7" s="6" t="n">
        <v>46217</v>
      </c>
      <c r="F7" s="7" t="n">
        <v>0.4618055555555556</v>
      </c>
      <c r="G7" s="7" t="n">
        <v>0.5138888888888888</v>
      </c>
      <c r="H7" s="7" t="n">
        <v>0.4756944444444444</v>
      </c>
      <c r="I7" s="8">
        <f>ROUND((H7-F7)*1440,0)</f>
        <v/>
      </c>
      <c r="J7" s="9">
        <f>IFERROR(VLOOKUP(I7,$R$3:$S$6,2,TRUE),"À l'heure")</f>
        <v/>
      </c>
      <c r="K7" s="5" t="inlineStr">
        <is>
          <t>Chloé Robert</t>
        </is>
      </c>
      <c r="L7" s="10" t="inlineStr">
        <is>
          <t>4</t>
        </is>
      </c>
      <c r="M7" s="10" t="n">
        <v>220</v>
      </c>
      <c r="N7" s="10" t="n">
        <v>205</v>
      </c>
      <c r="O7" s="11">
        <f>IFERROR(N7/M7,0)</f>
        <v/>
      </c>
    </row>
    <row r="8">
      <c r="A8" s="13" t="inlineStr">
        <is>
          <t>TGV 9007</t>
        </is>
      </c>
      <c r="B8" s="14" t="inlineStr">
        <is>
          <t>Nantes - Strasbourg</t>
        </is>
      </c>
      <c r="C8" s="14" t="inlineStr">
        <is>
          <t>Nantes</t>
        </is>
      </c>
      <c r="D8" s="14" t="inlineStr">
        <is>
          <t>Strasbourg</t>
        </is>
      </c>
      <c r="E8" s="15" t="n">
        <v>46217</v>
      </c>
      <c r="F8" s="16" t="n">
        <v>0.5104166666666666</v>
      </c>
      <c r="G8" s="16" t="n">
        <v>0.6875</v>
      </c>
      <c r="H8" s="16" t="n">
        <v>0.5104166666666666</v>
      </c>
      <c r="I8" s="8">
        <f>ROUND((H8-F8)*1440,0)</f>
        <v/>
      </c>
      <c r="J8" s="9">
        <f>IFERROR(VLOOKUP(I8,$R$3:$S$6,2,TRUE),"À l'heure")</f>
        <v/>
      </c>
      <c r="K8" s="14" t="inlineStr">
        <is>
          <t>Thomas Richard</t>
        </is>
      </c>
      <c r="L8" s="17" t="inlineStr">
        <is>
          <t>6</t>
        </is>
      </c>
      <c r="M8" s="17" t="n">
        <v>380</v>
      </c>
      <c r="N8" s="17" t="n">
        <v>150</v>
      </c>
      <c r="O8" s="11">
        <f>IFERROR(N8/M8,0)</f>
        <v/>
      </c>
    </row>
    <row r="9">
      <c r="A9" s="4" t="inlineStr">
        <is>
          <t>TER 7745</t>
        </is>
      </c>
      <c r="B9" s="5" t="inlineStr">
        <is>
          <t>Nice - Marseille</t>
        </is>
      </c>
      <c r="C9" s="5" t="inlineStr">
        <is>
          <t>Nice</t>
        </is>
      </c>
      <c r="D9" s="5" t="inlineStr">
        <is>
          <t>Marseille</t>
        </is>
      </c>
      <c r="E9" s="6" t="n">
        <v>46217</v>
      </c>
      <c r="F9" s="7" t="n">
        <v>0.5694444444444444</v>
      </c>
      <c r="G9" s="7" t="n">
        <v>0.6631944444444444</v>
      </c>
      <c r="H9" s="7" t="n">
        <v>0.5847222222222223</v>
      </c>
      <c r="I9" s="8">
        <f>ROUND((H9-F9)*1440,0)</f>
        <v/>
      </c>
      <c r="J9" s="9">
        <f>IFERROR(VLOOKUP(I9,$R$3:$S$6,2,TRUE),"À l'heure")</f>
        <v/>
      </c>
      <c r="K9" s="5" t="inlineStr">
        <is>
          <t>Léa Durand</t>
        </is>
      </c>
      <c r="L9" s="10" t="inlineStr">
        <is>
          <t>1</t>
        </is>
      </c>
      <c r="M9" s="10" t="n">
        <v>200</v>
      </c>
      <c r="N9" s="10" t="n">
        <v>178</v>
      </c>
      <c r="O9" s="11">
        <f>IFERROR(N9/M9,0)</f>
        <v/>
      </c>
    </row>
    <row r="10">
      <c r="A10" s="13" t="inlineStr">
        <is>
          <t>TGV 4210</t>
        </is>
      </c>
      <c r="B10" s="14" t="inlineStr">
        <is>
          <t>Rennes - Paris</t>
        </is>
      </c>
      <c r="C10" s="14" t="inlineStr">
        <is>
          <t>Rennes</t>
        </is>
      </c>
      <c r="D10" s="14" t="inlineStr">
        <is>
          <t>Paris</t>
        </is>
      </c>
      <c r="E10" s="15" t="n">
        <v>46217</v>
      </c>
      <c r="F10" s="16" t="n">
        <v>0.6180555555555556</v>
      </c>
      <c r="G10" s="16" t="n">
        <v>0.6979166666666666</v>
      </c>
      <c r="H10" s="16" t="n">
        <v>0.6284722222222222</v>
      </c>
      <c r="I10" s="8">
        <f>ROUND((H10-F10)*1440,0)</f>
        <v/>
      </c>
      <c r="J10" s="9">
        <f>IFERROR(VLOOKUP(I10,$R$3:$S$6,2,TRUE),"À l'heure")</f>
        <v/>
      </c>
      <c r="K10" s="14" t="inlineStr">
        <is>
          <t>Nicolas Moreau</t>
        </is>
      </c>
      <c r="L10" s="17" t="inlineStr">
        <is>
          <t>7</t>
        </is>
      </c>
      <c r="M10" s="17" t="n">
        <v>360</v>
      </c>
      <c r="N10" s="17" t="n">
        <v>340</v>
      </c>
      <c r="O10" s="11">
        <f>IFERROR(N10/M10,0)</f>
        <v/>
      </c>
    </row>
    <row r="11">
      <c r="A11" s="4" t="inlineStr">
        <is>
          <t>TGV 6112</t>
        </is>
      </c>
      <c r="B11" s="5" t="inlineStr">
        <is>
          <t>Bordeaux - Lyon</t>
        </is>
      </c>
      <c r="C11" s="5" t="inlineStr">
        <is>
          <t>Bordeaux</t>
        </is>
      </c>
      <c r="D11" s="5" t="inlineStr">
        <is>
          <t>Lyon</t>
        </is>
      </c>
      <c r="E11" s="6" t="n">
        <v>46217</v>
      </c>
      <c r="F11" s="7" t="n">
        <v>0.6458333333333334</v>
      </c>
      <c r="G11" s="7" t="n">
        <v>0.7916666666666666</v>
      </c>
      <c r="H11" s="7" t="n">
        <v>0.6458333333333334</v>
      </c>
      <c r="I11" s="8">
        <f>ROUND((H11-F11)*1440,0)</f>
        <v/>
      </c>
      <c r="J11" s="9">
        <f>IFERROR(VLOOKUP(I11,$R$3:$S$6,2,TRUE),"À l'heure")</f>
        <v/>
      </c>
      <c r="K11" s="5" t="inlineStr">
        <is>
          <t>Manon Simon</t>
        </is>
      </c>
      <c r="L11" s="10" t="inlineStr">
        <is>
          <t>3</t>
        </is>
      </c>
      <c r="M11" s="10" t="n">
        <v>340</v>
      </c>
      <c r="N11" s="10" t="n">
        <v>260</v>
      </c>
      <c r="O11" s="11">
        <f>IFERROR(N11/M11,0)</f>
        <v/>
      </c>
    </row>
    <row r="12">
      <c r="A12" s="13" t="inlineStr">
        <is>
          <t>TER 8890</t>
        </is>
      </c>
      <c r="B12" s="14" t="inlineStr">
        <is>
          <t>Strasbourg - Nancy</t>
        </is>
      </c>
      <c r="C12" s="14" t="inlineStr">
        <is>
          <t>Strasbourg</t>
        </is>
      </c>
      <c r="D12" s="14" t="inlineStr">
        <is>
          <t>Nancy</t>
        </is>
      </c>
      <c r="E12" s="15" t="n">
        <v>46217</v>
      </c>
      <c r="F12" s="16" t="n">
        <v>0.6979166666666666</v>
      </c>
      <c r="G12" s="16" t="n">
        <v>0.7569444444444444</v>
      </c>
      <c r="H12" s="16" t="n">
        <v>0.7152777777777778</v>
      </c>
      <c r="I12" s="8">
        <f>ROUND((H12-F12)*1440,0)</f>
        <v/>
      </c>
      <c r="J12" s="9">
        <f>IFERROR(VLOOKUP(I12,$R$3:$S$6,2,TRUE),"À l'heure")</f>
        <v/>
      </c>
      <c r="K12" s="14" t="inlineStr">
        <is>
          <t>Antoine Laurent</t>
        </is>
      </c>
      <c r="L12" s="17" t="inlineStr">
        <is>
          <t>2</t>
        </is>
      </c>
      <c r="M12" s="17" t="n">
        <v>180</v>
      </c>
      <c r="N12" s="17" t="n">
        <v>165</v>
      </c>
      <c r="O12" s="11">
        <f>IFERROR(N12/M12,0)</f>
        <v/>
      </c>
    </row>
    <row r="14">
      <c r="B14" s="18" t="inlineStr">
        <is>
          <t>TOTAUX / MOYENNES</t>
        </is>
      </c>
      <c r="I14" s="19">
        <f>ROUND(AVERAGE(I3:I12),1)</f>
        <v/>
      </c>
      <c r="J14" s="20" t="n"/>
      <c r="K14" s="20" t="n"/>
      <c r="L14" s="20" t="n"/>
      <c r="M14" s="20" t="n"/>
      <c r="N14" s="21">
        <f>SUM(N3:N12)</f>
        <v/>
      </c>
      <c r="O14" s="22">
        <f>IFERROR(AVERAGE(O3:O12),0)</f>
        <v/>
      </c>
    </row>
  </sheetData>
  <mergeCells count="1">
    <mergeCell ref="A1:O1"/>
  </mergeCells>
  <conditionalFormatting sqref="I3:I12">
    <cfRule type="expression" priority="1" dxfId="0" stopIfTrue="1">
      <formula>I3&gt;15</formula>
    </cfRule>
    <cfRule type="expression" priority="2" dxfId="1" stopIfTrue="1">
      <formula>I3&lt;=0</formula>
    </cfRule>
  </conditionalFormatting>
  <conditionalFormatting sqref="O3:O12">
    <cfRule type="cellIs" priority="3" operator="lessThan" dxfId="2">
      <formula>0.6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3" customWidth="1" min="3" max="3"/>
    <col width="20" customWidth="1" min="4" max="4"/>
    <col width="18" customWidth="1" min="5" max="5"/>
    <col width="18" customWidth="1" min="6" max="6"/>
  </cols>
  <sheetData>
    <row r="1" ht="26" customHeight="1">
      <c r="A1" s="1" t="inlineStr">
        <is>
          <t>TABLEAU DE BORD — EXPLOITATION FERROVIAIRE</t>
        </is>
      </c>
    </row>
    <row r="2">
      <c r="A2" s="23" t="inlineStr">
        <is>
          <t>INDICATEURS CLÉS</t>
        </is>
      </c>
    </row>
    <row r="3">
      <c r="A3" s="24" t="inlineStr">
        <is>
          <t>Nombre total de trains</t>
        </is>
      </c>
      <c r="B3" s="25">
        <f>COUNTA('Planning Trains'!A3:A12)</f>
        <v/>
      </c>
      <c r="D3" s="26" t="inlineStr">
        <is>
          <t>Statut</t>
        </is>
      </c>
      <c r="E3" s="26" t="inlineStr">
        <is>
          <t>Nb trains</t>
        </is>
      </c>
    </row>
    <row r="4">
      <c r="A4" s="27" t="inlineStr">
        <is>
          <t>Retard moyen (min)</t>
        </is>
      </c>
      <c r="B4" s="28">
        <f>ROUND(AVERAGE('Planning Trains'!I3:I12),1)</f>
        <v/>
      </c>
      <c r="D4" s="29" t="inlineStr">
        <is>
          <t>À l'heure</t>
        </is>
      </c>
      <c r="E4" s="10">
        <f>COUNTIF('Planning Trains'!J3:J12,"À l'heure")</f>
        <v/>
      </c>
    </row>
    <row r="5">
      <c r="A5" s="24" t="inlineStr">
        <is>
          <t>Trains à l'heure (%)</t>
        </is>
      </c>
      <c r="B5" s="30">
        <f>IFERROR(COUNTIF('Planning Trains'!J3:J12,"À l'heure")/COUNTA('Planning Trains'!J3:J12),0)</f>
        <v/>
      </c>
      <c r="D5" s="31" t="inlineStr">
        <is>
          <t>Léger retard</t>
        </is>
      </c>
      <c r="E5" s="17">
        <f>COUNTIF('Planning Trains'!J3:J12,"Léger retard")</f>
        <v/>
      </c>
    </row>
    <row r="6">
      <c r="A6" s="27" t="inlineStr">
        <is>
          <t>Total passagers transportés</t>
        </is>
      </c>
      <c r="B6" s="32">
        <f>SUM('Planning Trains'!N3:N12)</f>
        <v/>
      </c>
      <c r="D6" s="29" t="inlineStr">
        <is>
          <t>Retard</t>
        </is>
      </c>
      <c r="E6" s="10">
        <f>COUNTIF('Planning Trains'!J3:J12,"Retard")</f>
        <v/>
      </c>
    </row>
    <row r="7">
      <c r="A7" s="24" t="inlineStr">
        <is>
          <t>Taux de remplissage moyen</t>
        </is>
      </c>
      <c r="B7" s="30">
        <f>IFERROR(AVERAGE('Planning Trains'!O3:O12),0)</f>
        <v/>
      </c>
      <c r="D7" s="31" t="inlineStr">
        <is>
          <t>Retard important</t>
        </is>
      </c>
      <c r="E7" s="17">
        <f>COUNTIF('Planning Trains'!J3:J12,"Retard important")</f>
        <v/>
      </c>
    </row>
    <row r="8">
      <c r="A8" s="27" t="inlineStr">
        <is>
          <t>Retard maximum (min)</t>
        </is>
      </c>
      <c r="B8" s="25">
        <f>MAX('Planning Trains'!I3:I12)</f>
        <v/>
      </c>
    </row>
    <row r="10">
      <c r="D10" s="26" t="inlineStr">
        <is>
          <t>Ligne</t>
        </is>
      </c>
      <c r="E10" s="26" t="inlineStr">
        <is>
          <t>Retard (min)</t>
        </is>
      </c>
    </row>
    <row r="11">
      <c r="D11" s="29">
        <f>'Planning Trains'!B3</f>
        <v/>
      </c>
      <c r="E11" s="33">
        <f>'Planning Trains'!I3</f>
        <v/>
      </c>
    </row>
    <row r="12">
      <c r="D12" s="31">
        <f>'Planning Trains'!B4</f>
        <v/>
      </c>
      <c r="E12" s="34">
        <f>'Planning Trains'!I4</f>
        <v/>
      </c>
    </row>
    <row r="13">
      <c r="D13" s="29">
        <f>'Planning Trains'!B5</f>
        <v/>
      </c>
      <c r="E13" s="33">
        <f>'Planning Trains'!I5</f>
        <v/>
      </c>
    </row>
    <row r="14">
      <c r="D14" s="31">
        <f>'Planning Trains'!B6</f>
        <v/>
      </c>
      <c r="E14" s="34">
        <f>'Planning Trains'!I6</f>
        <v/>
      </c>
    </row>
    <row r="15">
      <c r="D15" s="29">
        <f>'Planning Trains'!B7</f>
        <v/>
      </c>
      <c r="E15" s="33">
        <f>'Planning Trains'!I7</f>
        <v/>
      </c>
    </row>
    <row r="16">
      <c r="D16" s="31">
        <f>'Planning Trains'!B8</f>
        <v/>
      </c>
      <c r="E16" s="34">
        <f>'Planning Trains'!I8</f>
        <v/>
      </c>
    </row>
    <row r="17">
      <c r="D17" s="29">
        <f>'Planning Trains'!B9</f>
        <v/>
      </c>
      <c r="E17" s="33">
        <f>'Planning Trains'!I9</f>
        <v/>
      </c>
    </row>
    <row r="18">
      <c r="D18" s="31">
        <f>'Planning Trains'!B10</f>
        <v/>
      </c>
      <c r="E18" s="34">
        <f>'Planning Trains'!I10</f>
        <v/>
      </c>
    </row>
    <row r="19">
      <c r="D19" s="29">
        <f>'Planning Trains'!B11</f>
        <v/>
      </c>
      <c r="E19" s="33">
        <f>'Planning Trains'!I11</f>
        <v/>
      </c>
    </row>
    <row r="20">
      <c r="D20" s="31">
        <f>'Planning Trains'!B12</f>
        <v/>
      </c>
      <c r="E20" s="34">
        <f>'Planning Trains'!I12</f>
        <v/>
      </c>
    </row>
  </sheetData>
  <mergeCells count="2">
    <mergeCell ref="A1:F1"/>
    <mergeCell ref="A2:B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25" customWidth="1" min="3" max="3"/>
    <col width="25" customWidth="1" min="4" max="4"/>
  </cols>
  <sheetData>
    <row r="1" ht="26" customHeight="1">
      <c r="A1" s="1" t="inlineStr">
        <is>
          <t>MODE D'EMPLOI DU CLASSEUR</t>
        </is>
      </c>
    </row>
    <row r="3" ht="48" customHeight="1">
      <c r="A3" s="35" t="inlineStr">
        <is>
          <t>Planning Trains</t>
        </is>
      </c>
      <c r="B3" s="36" t="inlineStr">
        <is>
          <t>Feuille principale listant les circulations : ligne, gares, horaires prévus/réels, retard, statut, conducteur, quai, capacité et passagers. Les cellules jaune pâle (Heure départ réelle, Passagers) sont à saisir manuellement ; les autres colonnes se calculent automatiquement.</t>
        </is>
      </c>
    </row>
    <row r="5" ht="48" customHeight="1">
      <c r="A5" s="35" t="inlineStr">
        <is>
          <t>Colonne Retard (min)</t>
        </is>
      </c>
      <c r="B5" s="36" t="inlineStr">
        <is>
          <t>Calculée automatiquement : différence entre l'heure de départ réelle et l'heure de départ prévue, convertie en minutes.</t>
        </is>
      </c>
    </row>
    <row r="7" ht="48" customHeight="1">
      <c r="A7" s="35" t="inlineStr">
        <is>
          <t>Colonne Statut</t>
        </is>
      </c>
      <c r="B7" s="36" t="inlineStr">
        <is>
          <t>Déterminée par une formule VLOOKUP qui compare le retard à une table de seuils (À l'heure / Léger retard / Retard / Retard important) située en colonnes R:S.</t>
        </is>
      </c>
    </row>
    <row r="9" ht="48" customHeight="1">
      <c r="A9" s="35" t="inlineStr">
        <is>
          <t>Colonne Taux remplissage</t>
        </is>
      </c>
      <c r="B9" s="36" t="inlineStr">
        <is>
          <t>Calcul du ratio Passagers / Capacité, protégé contre les erreurs de division.</t>
        </is>
      </c>
    </row>
    <row r="11" ht="48" customHeight="1">
      <c r="A11" s="35" t="inlineStr">
        <is>
          <t>Mise en forme conditionnelle</t>
        </is>
      </c>
      <c r="B11" s="36" t="inlineStr">
        <is>
          <t>Les retards supérieurs à 15 minutes apparaissent en rouge, les trains à l'heure en vert, et les taux de remplissage inférieurs à 60% sont surlignés en jaune.</t>
        </is>
      </c>
    </row>
    <row r="13" ht="48" customHeight="1">
      <c r="A13" s="35" t="inlineStr">
        <is>
          <t>Tableau de bord</t>
        </is>
      </c>
      <c r="B13" s="36" t="inlineStr">
        <is>
          <t>Synthétise les indicateurs clés (nombre de trains, retard moyen, % à l'heure, passagers totaux, taux de remplissage moyen, retard maximum) et propose deux graphiques : répartition des statuts et retard par ligne ferroviaire.</t>
        </is>
      </c>
    </row>
    <row r="15" ht="48" customHeight="1">
      <c r="A15" s="35" t="inlineStr">
        <is>
          <t>Mise à jour</t>
        </is>
      </c>
      <c r="B15" s="36" t="inlineStr">
        <is>
          <t>Il suffit de compléter de nouvelles lignes dans 'Planning Trains' en respectant les formats de date (JJ/MM/AAAA) et d'heure (HH:MM) ; toutes les formules et graphiques se recalculent seuls.</t>
        </is>
      </c>
    </row>
  </sheetData>
  <mergeCells count="15">
    <mergeCell ref="A1:D1"/>
    <mergeCell ref="A3"/>
    <mergeCell ref="B3:D3"/>
    <mergeCell ref="A5"/>
    <mergeCell ref="B5:D5"/>
    <mergeCell ref="A7"/>
    <mergeCell ref="B7:D7"/>
    <mergeCell ref="A9"/>
    <mergeCell ref="B9:D9"/>
    <mergeCell ref="A11"/>
    <mergeCell ref="B11:D11"/>
    <mergeCell ref="A13"/>
    <mergeCell ref="B13:D13"/>
    <mergeCell ref="A15"/>
    <mergeCell ref="B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2026-07-14T09:16:51Z</dcterms:created>
  <dcterms:modified xmlns:dcterms="http://purl.org/dc/terms/" xmlns:xsi="http://www.w3.org/2001/XMLSchema-instance" xsi:type="dcterms:W3CDTF">2026-07-14T09:16:51Z</dcterms:modified>
</cp:coreProperties>
</file>