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actures" sheetId="1" state="visible" r:id="rId1"/>
    <sheet xmlns:r="http://schemas.openxmlformats.org/officeDocument/2006/relationships" name="Tarifs" sheetId="2" state="visible" r:id="rId2"/>
    <sheet xmlns:r="http://schemas.openxmlformats.org/officeDocument/2006/relationships" name="Tableau de bord" sheetId="3" state="visible" r:id="rId3"/>
    <sheet xmlns:r="http://schemas.openxmlformats.org/officeDocument/2006/relationships" name="Mode d'emploi" sheetId="4" state="visible" r:id="rId4"/>
  </sheets>
  <definedNames/>
  <calcPr calcId="124519" fullCalcOnLoad="1"/>
</workbook>
</file>

<file path=xl/styles.xml><?xml version="1.0" encoding="utf-8"?>
<styleSheet xmlns="http://schemas.openxmlformats.org/spreadsheetml/2006/main">
  <numFmts count="3">
    <numFmt numFmtId="164" formatCode="yyyy-mm-dd"/>
    <numFmt numFmtId="165" formatCode="DD/MM/YYYY"/>
    <numFmt numFmtId="166" formatCode="#\ ##0,00\ &quot;€&quot;"/>
  </numFmts>
  <fonts count="7">
    <font>
      <name val="Calibri"/>
      <family val="2"/>
      <color theme="1"/>
      <sz val="11"/>
      <scheme val="minor"/>
    </font>
    <font>
      <name val="Calibri"/>
      <b val="1"/>
      <color rgb="00E11D48"/>
      <sz val="16"/>
    </font>
    <font>
      <name val="Calibri"/>
      <b val="1"/>
      <color rgb="00FFFFFF"/>
      <sz val="11"/>
    </font>
    <font>
      <name val="Calibri"/>
      <sz val="10"/>
    </font>
    <font>
      <name val="Calibri"/>
      <b val="1"/>
      <sz val="10"/>
    </font>
    <font>
      <b val="1"/>
      <color rgb="00FFFFFF"/>
    </font>
    <font>
      <b val="1"/>
      <color rgb="00FFFFFF"/>
      <sz val="10"/>
    </font>
  </fonts>
  <fills count="8">
    <fill>
      <patternFill/>
    </fill>
    <fill>
      <patternFill patternType="gray125"/>
    </fill>
    <fill>
      <patternFill patternType="solid">
        <fgColor rgb="00E11D48"/>
      </patternFill>
    </fill>
    <fill>
      <patternFill patternType="solid">
        <fgColor rgb="00FFFBEB"/>
      </patternFill>
    </fill>
    <fill>
      <patternFill patternType="solid">
        <fgColor rgb="00FDF0F3"/>
      </patternFill>
    </fill>
    <fill>
      <patternFill patternType="solid">
        <fgColor rgb="00FFFFFF"/>
      </patternFill>
    </fill>
    <fill>
      <patternFill patternType="solid">
        <fgColor rgb="000891B2"/>
      </patternFill>
    </fill>
    <fill>
      <patternFill patternType="solid">
        <fgColor rgb="00BE123C"/>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28">
    <xf numFmtId="0" fontId="0" fillId="0" borderId="0" pivotButton="0" quotePrefix="0" xfId="0"/>
    <xf numFmtId="0" fontId="1" fillId="0" borderId="0" applyAlignment="1" pivotButton="0" quotePrefix="0" xfId="0">
      <alignment horizontal="center" vertical="center"/>
    </xf>
    <xf numFmtId="0" fontId="2" fillId="2" borderId="1" applyAlignment="1" pivotButton="0" quotePrefix="0" xfId="0">
      <alignment horizontal="center" vertical="center" wrapText="1"/>
    </xf>
    <xf numFmtId="0" fontId="3" fillId="4" borderId="1" applyAlignment="1" pivotButton="0" quotePrefix="0" xfId="0">
      <alignment horizontal="center" vertical="center" wrapText="1"/>
    </xf>
    <xf numFmtId="165" fontId="3" fillId="4" borderId="1" applyAlignment="1" pivotButton="0" quotePrefix="0" xfId="0">
      <alignment horizontal="center" vertical="center" wrapText="1"/>
    </xf>
    <xf numFmtId="0" fontId="3" fillId="4" borderId="1" applyAlignment="1" pivotButton="0" quotePrefix="0" xfId="0">
      <alignment horizontal="left" vertical="center"/>
    </xf>
    <xf numFmtId="0" fontId="4" fillId="4" borderId="1" applyAlignment="1" pivotButton="0" quotePrefix="0" xfId="0">
      <alignment horizontal="center" vertical="center" wrapText="1"/>
    </xf>
    <xf numFmtId="166" fontId="4" fillId="4" borderId="1" applyAlignment="1" pivotButton="0" quotePrefix="0" xfId="0">
      <alignment horizontal="center" vertical="center" wrapText="1"/>
    </xf>
    <xf numFmtId="0" fontId="3" fillId="3" borderId="1" applyAlignment="1" pivotButton="0" quotePrefix="0" xfId="0">
      <alignment horizontal="left" vertical="center"/>
    </xf>
    <xf numFmtId="0" fontId="3" fillId="5" borderId="1" applyAlignment="1" pivotButton="0" quotePrefix="0" xfId="0">
      <alignment horizontal="center" vertical="center" wrapText="1"/>
    </xf>
    <xf numFmtId="165" fontId="3" fillId="5" borderId="1" applyAlignment="1" pivotButton="0" quotePrefix="0" xfId="0">
      <alignment horizontal="center" vertical="center" wrapText="1"/>
    </xf>
    <xf numFmtId="0" fontId="3" fillId="5" borderId="1" applyAlignment="1" pivotButton="0" quotePrefix="0" xfId="0">
      <alignment horizontal="left" vertical="center"/>
    </xf>
    <xf numFmtId="0" fontId="4" fillId="5" borderId="1" applyAlignment="1" pivotButton="0" quotePrefix="0" xfId="0">
      <alignment horizontal="center" vertical="center" wrapText="1"/>
    </xf>
    <xf numFmtId="166" fontId="4" fillId="5" borderId="1" applyAlignment="1" pivotButton="0" quotePrefix="0" xfId="0">
      <alignment horizontal="center" vertical="center" wrapText="1"/>
    </xf>
    <xf numFmtId="0" fontId="0" fillId="6" borderId="1" pivotButton="0" quotePrefix="0" xfId="0"/>
    <xf numFmtId="0" fontId="2" fillId="6" borderId="1" applyAlignment="1" pivotButton="0" quotePrefix="0" xfId="0">
      <alignment horizontal="center" vertical="center" wrapText="1"/>
    </xf>
    <xf numFmtId="166" fontId="2" fillId="6" borderId="1" applyAlignment="1" pivotButton="0" quotePrefix="0" xfId="0">
      <alignment horizontal="center" vertical="center" wrapText="1"/>
    </xf>
    <xf numFmtId="0" fontId="4" fillId="4" borderId="1" applyAlignment="1" pivotButton="0" quotePrefix="0" xfId="0">
      <alignment horizontal="left" vertical="center"/>
    </xf>
    <xf numFmtId="166" fontId="3" fillId="4" borderId="1" applyAlignment="1" pivotButton="0" quotePrefix="0" xfId="0">
      <alignment horizontal="center" vertical="center" wrapText="1"/>
    </xf>
    <xf numFmtId="0" fontId="4" fillId="5" borderId="1" applyAlignment="1" pivotButton="0" quotePrefix="0" xfId="0">
      <alignment horizontal="left" vertical="center"/>
    </xf>
    <xf numFmtId="166" fontId="3" fillId="5" borderId="1" applyAlignment="1" pivotButton="0" quotePrefix="0" xfId="0">
      <alignment horizontal="center" vertical="center" wrapText="1"/>
    </xf>
    <xf numFmtId="0" fontId="5" fillId="7" borderId="1" applyAlignment="1" pivotButton="0" quotePrefix="0" xfId="0">
      <alignment horizontal="left" vertical="center"/>
    </xf>
    <xf numFmtId="0" fontId="0" fillId="0" borderId="4" pivotButton="0" quotePrefix="0" xfId="0"/>
    <xf numFmtId="0" fontId="0" fillId="0" borderId="5" pivotButton="0" quotePrefix="0" xfId="0"/>
    <xf numFmtId="0" fontId="4" fillId="0" borderId="0" applyAlignment="1" pivotButton="0" quotePrefix="0" xfId="0">
      <alignment horizontal="left" vertical="center"/>
    </xf>
    <xf numFmtId="0" fontId="4" fillId="0" borderId="0" pivotButton="0" quotePrefix="0" xfId="0"/>
    <xf numFmtId="0" fontId="6" fillId="7" borderId="1" applyAlignment="1" pivotButton="0" quotePrefix="0" xfId="0">
      <alignment vertical="center" wrapText="1"/>
    </xf>
    <xf numFmtId="0" fontId="3" fillId="0" borderId="1" applyAlignment="1" pivotButton="0" quotePrefix="0" xfId="0">
      <alignment vertical="center" wrapText="1"/>
    </xf>
  </cellXfs>
  <cellStyles count="1">
    <cellStyle name="Normal" xfId="0" builtinId="0" hidden="0"/>
  </cellStyles>
  <dxfs count="4">
    <dxf>
      <font>
        <b val="1"/>
        <color rgb="00FFFFFF"/>
      </font>
      <fill>
        <patternFill patternType="solid">
          <fgColor rgb="0016A34A"/>
        </patternFill>
      </fill>
    </dxf>
    <dxf>
      <font>
        <b val="1"/>
        <color rgb="00FFFFFF"/>
      </font>
      <fill>
        <patternFill patternType="solid">
          <fgColor rgb="00F59E0B"/>
        </patternFill>
      </fill>
    </dxf>
    <dxf>
      <font>
        <b val="1"/>
        <color rgb="00FFFFFF"/>
      </font>
      <fill>
        <patternFill patternType="solid">
          <fgColor rgb="00DC2626"/>
        </patternFill>
      </fill>
    </dxf>
    <dxf>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Chiffre d'affaires TTC par catégorie de véhicule</a:t>
            </a:r>
          </a:p>
        </rich>
      </tx>
    </title>
    <plotArea>
      <barChart>
        <barDir val="col"/>
        <grouping val="clustered"/>
        <ser>
          <idx val="0"/>
          <order val="0"/>
          <tx>
            <strRef>
              <f>'Tableau de bord'!B11</f>
            </strRef>
          </tx>
          <spPr>
            <a:solidFill xmlns:a="http://schemas.openxmlformats.org/drawingml/2006/main">
              <a:srgbClr val="0891B2"/>
            </a:solidFill>
            <a:ln xmlns:a="http://schemas.openxmlformats.org/drawingml/2006/main">
              <a:prstDash val="solid"/>
            </a:ln>
          </spPr>
          <cat>
            <numRef>
              <f>'Tableau de bord'!$A$12:$A$19</f>
            </numRef>
          </cat>
          <val>
            <numRef>
              <f>'Tableau de bord'!$B$12:$B$19</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Catégorie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CA TTC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des factures par statut</a:t>
            </a:r>
          </a:p>
        </rich>
      </tx>
    </title>
    <plotArea>
      <pieChart>
        <varyColors val="1"/>
        <ser>
          <idx val="0"/>
          <order val="0"/>
          <tx>
            <strRef>
              <f>'Tableau de bord'!B23</f>
            </strRef>
          </tx>
          <spPr>
            <a:solidFill xmlns:a="http://schemas.openxmlformats.org/drawingml/2006/main">
              <a:srgbClr val="E11D48"/>
            </a:solidFill>
            <a:ln xmlns:a="http://schemas.openxmlformats.org/drawingml/2006/main">
              <a:prstDash val="solid"/>
            </a:ln>
          </spPr>
          <cat>
            <numRef>
              <f>'Tableau de bord'!$A$24:$A$26</f>
            </numRef>
          </cat>
          <val>
            <numRef>
              <f>'Tableau de bord'!$B$24:$B$26</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7</col>
      <colOff>0</colOff>
      <row>2</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19</row>
      <rowOff>0</rowOff>
    </from>
    <ext cx="576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T15"/>
  <sheetViews>
    <sheetView workbookViewId="0">
      <pane ySplit="3" topLeftCell="A4" activePane="bottomLeft" state="frozen"/>
      <selection pane="bottomLeft" activeCell="A1" sqref="A1"/>
    </sheetView>
  </sheetViews>
  <sheetFormatPr baseColWidth="8" defaultRowHeight="15"/>
  <cols>
    <col width="15" customWidth="1" min="1" max="1"/>
    <col width="13" customWidth="1" min="2" max="2"/>
    <col width="17" customWidth="1" min="3" max="3"/>
    <col width="13" customWidth="1" min="4" max="4"/>
    <col width="20" customWidth="1" min="5" max="5"/>
    <col width="12" customWidth="1" min="6" max="6"/>
    <col width="12" customWidth="1" min="7" max="7"/>
    <col width="12" customWidth="1" min="8" max="8"/>
    <col width="10" customWidth="1" min="9" max="9"/>
    <col width="12" customWidth="1" min="10" max="10"/>
    <col width="12" customWidth="1" min="11" max="11"/>
    <col width="10" customWidth="1" min="12" max="12"/>
    <col width="10" customWidth="1" min="13" max="13"/>
    <col width="13" customWidth="1" min="14" max="14"/>
    <col width="10" customWidth="1" min="15" max="15"/>
    <col width="13" customWidth="1" min="16" max="16"/>
    <col width="13" customWidth="1" min="17" max="17"/>
    <col width="11" customWidth="1" min="18" max="18"/>
    <col width="13" customWidth="1" min="19" max="19"/>
    <col width="12" customWidth="1" min="20" max="20"/>
  </cols>
  <sheetData>
    <row r="1" ht="28" customHeight="1">
      <c r="A1" s="1" t="inlineStr">
        <is>
          <t>FACTURATION LOCATION DE VÉHICULES — EXCEL PRÊT</t>
        </is>
      </c>
    </row>
    <row r="3" ht="32" customHeight="1">
      <c r="A3" s="2" t="inlineStr">
        <is>
          <t>N° Facture</t>
        </is>
      </c>
      <c r="B3" s="2" t="inlineStr">
        <is>
          <t>Date facture</t>
        </is>
      </c>
      <c r="C3" s="2" t="inlineStr">
        <is>
          <t>Client</t>
        </is>
      </c>
      <c r="D3" s="2" t="inlineStr">
        <is>
          <t>Ville</t>
        </is>
      </c>
      <c r="E3" s="2" t="inlineStr">
        <is>
          <t>Véhicule</t>
        </is>
      </c>
      <c r="F3" s="2" t="inlineStr">
        <is>
          <t>Catégorie</t>
        </is>
      </c>
      <c r="G3" s="2" t="inlineStr">
        <is>
          <t>Date Début</t>
        </is>
      </c>
      <c r="H3" s="2" t="inlineStr">
        <is>
          <t>Date Fin</t>
        </is>
      </c>
      <c r="I3" s="2" t="inlineStr">
        <is>
          <t>Nb Jours</t>
        </is>
      </c>
      <c r="J3" s="2" t="inlineStr">
        <is>
          <t>Tarif Jour HT</t>
        </is>
      </c>
      <c r="K3" s="2" t="inlineStr">
        <is>
          <t>Km parcourus</t>
        </is>
      </c>
      <c r="L3" s="2" t="inlineStr">
        <is>
          <t>Km inclus</t>
        </is>
      </c>
      <c r="M3" s="2" t="inlineStr">
        <is>
          <t>Km supp.</t>
        </is>
      </c>
      <c r="N3" s="2" t="inlineStr">
        <is>
          <t>Frais km supp.</t>
        </is>
      </c>
      <c r="O3" s="2" t="inlineStr">
        <is>
          <t>Assurance</t>
        </is>
      </c>
      <c r="P3" s="2" t="inlineStr">
        <is>
          <t>Frais assurance</t>
        </is>
      </c>
      <c r="Q3" s="2" t="inlineStr">
        <is>
          <t>Sous-total HT</t>
        </is>
      </c>
      <c r="R3" s="2" t="inlineStr">
        <is>
          <t>TVA (20%)</t>
        </is>
      </c>
      <c r="S3" s="2" t="inlineStr">
        <is>
          <t>Total TTC</t>
        </is>
      </c>
      <c r="T3" s="2" t="inlineStr">
        <is>
          <t>Statut</t>
        </is>
      </c>
    </row>
    <row r="4">
      <c r="A4" s="3" t="inlineStr">
        <is>
          <t>FAC-2026-001</t>
        </is>
      </c>
      <c r="B4" s="4" t="n">
        <v>46027</v>
      </c>
      <c r="C4" s="5" t="inlineStr">
        <is>
          <t>Camille Dubois</t>
        </is>
      </c>
      <c r="D4" s="5" t="inlineStr">
        <is>
          <t>Paris</t>
        </is>
      </c>
      <c r="E4" s="5" t="inlineStr">
        <is>
          <t>Renault Clio</t>
        </is>
      </c>
      <c r="F4" s="5" t="inlineStr">
        <is>
          <t>Citadine</t>
        </is>
      </c>
      <c r="G4" s="4" t="n">
        <v>46025</v>
      </c>
      <c r="H4" s="4" t="n">
        <v>46028</v>
      </c>
      <c r="I4" s="6">
        <f>H4-G4</f>
        <v/>
      </c>
      <c r="J4" s="7">
        <f>IFERROR(VLOOKUP(F4,Tarifs!$A$4:$D$11,2,FALSE),0)</f>
        <v/>
      </c>
      <c r="K4" s="3" t="n">
        <v>350</v>
      </c>
      <c r="L4" s="6">
        <f>I4*200</f>
        <v/>
      </c>
      <c r="M4" s="6">
        <f>MAX(0,K4-L4)</f>
        <v/>
      </c>
      <c r="N4" s="7">
        <f>ROUND(M4*0.25,2)</f>
        <v/>
      </c>
      <c r="O4" s="8" t="inlineStr">
        <is>
          <t>Oui</t>
        </is>
      </c>
      <c r="P4" s="7">
        <f>IF(O4="Oui",I4*IFERROR(VLOOKUP(F4,Tarifs!$A$4:$D$11,4,FALSE),0),0)</f>
        <v/>
      </c>
      <c r="Q4" s="7">
        <f>ROUND(I4*J4+N4+P4,2)</f>
        <v/>
      </c>
      <c r="R4" s="7">
        <f>ROUND(Q4*0.2,2)</f>
        <v/>
      </c>
      <c r="S4" s="7">
        <f>Q4+R4</f>
        <v/>
      </c>
      <c r="T4" s="8" t="inlineStr">
        <is>
          <t>Payée</t>
        </is>
      </c>
    </row>
    <row r="5">
      <c r="A5" s="9" t="inlineStr">
        <is>
          <t>FAC-2026-002</t>
        </is>
      </c>
      <c r="B5" s="10" t="n">
        <v>46034</v>
      </c>
      <c r="C5" s="11" t="inlineStr">
        <is>
          <t>Julien Marchand</t>
        </is>
      </c>
      <c r="D5" s="11" t="inlineStr">
        <is>
          <t>Lyon</t>
        </is>
      </c>
      <c r="E5" s="11" t="inlineStr">
        <is>
          <t>Peugeot 3008</t>
        </is>
      </c>
      <c r="F5" s="11" t="inlineStr">
        <is>
          <t>SUV</t>
        </is>
      </c>
      <c r="G5" s="10" t="n">
        <v>46030</v>
      </c>
      <c r="H5" s="10" t="n">
        <v>46037</v>
      </c>
      <c r="I5" s="12">
        <f>H5-G5</f>
        <v/>
      </c>
      <c r="J5" s="13">
        <f>IFERROR(VLOOKUP(F5,Tarifs!$A$4:$D$11,2,FALSE),0)</f>
        <v/>
      </c>
      <c r="K5" s="9" t="n">
        <v>1400</v>
      </c>
      <c r="L5" s="12">
        <f>I5*200</f>
        <v/>
      </c>
      <c r="M5" s="12">
        <f>MAX(0,K5-L5)</f>
        <v/>
      </c>
      <c r="N5" s="13">
        <f>ROUND(M5*0.25,2)</f>
        <v/>
      </c>
      <c r="O5" s="8" t="inlineStr">
        <is>
          <t>Non</t>
        </is>
      </c>
      <c r="P5" s="13">
        <f>IF(O5="Oui",I5*IFERROR(VLOOKUP(F5,Tarifs!$A$4:$D$11,4,FALSE),0),0)</f>
        <v/>
      </c>
      <c r="Q5" s="13">
        <f>ROUND(I5*J5+N5+P5,2)</f>
        <v/>
      </c>
      <c r="R5" s="13">
        <f>ROUND(Q5*0.2,2)</f>
        <v/>
      </c>
      <c r="S5" s="13">
        <f>Q5+R5</f>
        <v/>
      </c>
      <c r="T5" s="8" t="inlineStr">
        <is>
          <t>Payée</t>
        </is>
      </c>
    </row>
    <row r="6">
      <c r="A6" s="3" t="inlineStr">
        <is>
          <t>FAC-2026-003</t>
        </is>
      </c>
      <c r="B6" s="4" t="n">
        <v>46042</v>
      </c>
      <c r="C6" s="5" t="inlineStr">
        <is>
          <t>Émilie Rousseau</t>
        </is>
      </c>
      <c r="D6" s="5" t="inlineStr">
        <is>
          <t>Marseille</t>
        </is>
      </c>
      <c r="E6" s="5" t="inlineStr">
        <is>
          <t>Citroën C4</t>
        </is>
      </c>
      <c r="F6" s="5" t="inlineStr">
        <is>
          <t>Compacte</t>
        </is>
      </c>
      <c r="G6" s="4" t="n">
        <v>46040</v>
      </c>
      <c r="H6" s="4" t="n">
        <v>46043</v>
      </c>
      <c r="I6" s="6">
        <f>H6-G6</f>
        <v/>
      </c>
      <c r="J6" s="7">
        <f>IFERROR(VLOOKUP(F6,Tarifs!$A$4:$D$11,2,FALSE),0)</f>
        <v/>
      </c>
      <c r="K6" s="3" t="n">
        <v>600</v>
      </c>
      <c r="L6" s="6">
        <f>I6*200</f>
        <v/>
      </c>
      <c r="M6" s="6">
        <f>MAX(0,K6-L6)</f>
        <v/>
      </c>
      <c r="N6" s="7">
        <f>ROUND(M6*0.25,2)</f>
        <v/>
      </c>
      <c r="O6" s="8" t="inlineStr">
        <is>
          <t>Oui</t>
        </is>
      </c>
      <c r="P6" s="7">
        <f>IF(O6="Oui",I6*IFERROR(VLOOKUP(F6,Tarifs!$A$4:$D$11,4,FALSE),0),0)</f>
        <v/>
      </c>
      <c r="Q6" s="7">
        <f>ROUND(I6*J6+N6+P6,2)</f>
        <v/>
      </c>
      <c r="R6" s="7">
        <f>ROUND(Q6*0.2,2)</f>
        <v/>
      </c>
      <c r="S6" s="7">
        <f>Q6+R6</f>
        <v/>
      </c>
      <c r="T6" s="8" t="inlineStr">
        <is>
          <t>En attente</t>
        </is>
      </c>
    </row>
    <row r="7">
      <c r="A7" s="9" t="inlineStr">
        <is>
          <t>FAC-2026-004</t>
        </is>
      </c>
      <c r="B7" s="10" t="n">
        <v>46055</v>
      </c>
      <c r="C7" s="11" t="inlineStr">
        <is>
          <t>Lucas Bernard</t>
        </is>
      </c>
      <c r="D7" s="11" t="inlineStr">
        <is>
          <t>Toulouse</t>
        </is>
      </c>
      <c r="E7" s="11" t="inlineStr">
        <is>
          <t>BMW Série 5</t>
        </is>
      </c>
      <c r="F7" s="11" t="inlineStr">
        <is>
          <t>Berline</t>
        </is>
      </c>
      <c r="G7" s="10" t="n">
        <v>46051</v>
      </c>
      <c r="H7" s="10" t="n">
        <v>46056</v>
      </c>
      <c r="I7" s="12">
        <f>H7-G7</f>
        <v/>
      </c>
      <c r="J7" s="13">
        <f>IFERROR(VLOOKUP(F7,Tarifs!$A$4:$D$11,2,FALSE),0)</f>
        <v/>
      </c>
      <c r="K7" s="9" t="n">
        <v>900</v>
      </c>
      <c r="L7" s="12">
        <f>I7*200</f>
        <v/>
      </c>
      <c r="M7" s="12">
        <f>MAX(0,K7-L7)</f>
        <v/>
      </c>
      <c r="N7" s="13">
        <f>ROUND(M7*0.25,2)</f>
        <v/>
      </c>
      <c r="O7" s="8" t="inlineStr">
        <is>
          <t>Oui</t>
        </is>
      </c>
      <c r="P7" s="13">
        <f>IF(O7="Oui",I7*IFERROR(VLOOKUP(F7,Tarifs!$A$4:$D$11,4,FALSE),0),0)</f>
        <v/>
      </c>
      <c r="Q7" s="13">
        <f>ROUND(I7*J7+N7+P7,2)</f>
        <v/>
      </c>
      <c r="R7" s="13">
        <f>ROUND(Q7*0.2,2)</f>
        <v/>
      </c>
      <c r="S7" s="13">
        <f>Q7+R7</f>
        <v/>
      </c>
      <c r="T7" s="8" t="inlineStr">
        <is>
          <t>Payée</t>
        </is>
      </c>
    </row>
    <row r="8">
      <c r="A8" s="3" t="inlineStr">
        <is>
          <t>FAC-2026-005</t>
        </is>
      </c>
      <c r="B8" s="4" t="n">
        <v>46063</v>
      </c>
      <c r="C8" s="5" t="inlineStr">
        <is>
          <t>Chloé Petit</t>
        </is>
      </c>
      <c r="D8" s="5" t="inlineStr">
        <is>
          <t>Bordeaux</t>
        </is>
      </c>
      <c r="E8" s="5" t="inlineStr">
        <is>
          <t>Renault Trafic</t>
        </is>
      </c>
      <c r="F8" s="5" t="inlineStr">
        <is>
          <t>Utilitaire</t>
        </is>
      </c>
      <c r="G8" s="4" t="n">
        <v>46061</v>
      </c>
      <c r="H8" s="4" t="n">
        <v>46065</v>
      </c>
      <c r="I8" s="6">
        <f>H8-G8</f>
        <v/>
      </c>
      <c r="J8" s="7">
        <f>IFERROR(VLOOKUP(F8,Tarifs!$A$4:$D$11,2,FALSE),0)</f>
        <v/>
      </c>
      <c r="K8" s="3" t="n">
        <v>500</v>
      </c>
      <c r="L8" s="6">
        <f>I8*200</f>
        <v/>
      </c>
      <c r="M8" s="6">
        <f>MAX(0,K8-L8)</f>
        <v/>
      </c>
      <c r="N8" s="7">
        <f>ROUND(M8*0.25,2)</f>
        <v/>
      </c>
      <c r="O8" s="8" t="inlineStr">
        <is>
          <t>Non</t>
        </is>
      </c>
      <c r="P8" s="7">
        <f>IF(O8="Oui",I8*IFERROR(VLOOKUP(F8,Tarifs!$A$4:$D$11,4,FALSE),0),0)</f>
        <v/>
      </c>
      <c r="Q8" s="7">
        <f>ROUND(I8*J8+N8+P8,2)</f>
        <v/>
      </c>
      <c r="R8" s="7">
        <f>ROUND(Q8*0.2,2)</f>
        <v/>
      </c>
      <c r="S8" s="7">
        <f>Q8+R8</f>
        <v/>
      </c>
      <c r="T8" s="8" t="inlineStr">
        <is>
          <t>Retard</t>
        </is>
      </c>
    </row>
    <row r="9">
      <c r="A9" s="9" t="inlineStr">
        <is>
          <t>FAC-2026-006</t>
        </is>
      </c>
      <c r="B9" s="10" t="n">
        <v>46071</v>
      </c>
      <c r="C9" s="11" t="inlineStr">
        <is>
          <t>Thomas Lefevre</t>
        </is>
      </c>
      <c r="D9" s="11" t="inlineStr">
        <is>
          <t>Lille</t>
        </is>
      </c>
      <c r="E9" s="11" t="inlineStr">
        <is>
          <t>Mercedes Classe S</t>
        </is>
      </c>
      <c r="F9" s="11" t="inlineStr">
        <is>
          <t>Luxe</t>
        </is>
      </c>
      <c r="G9" s="10" t="n">
        <v>46068</v>
      </c>
      <c r="H9" s="10" t="n">
        <v>46072</v>
      </c>
      <c r="I9" s="12">
        <f>H9-G9</f>
        <v/>
      </c>
      <c r="J9" s="13">
        <f>IFERROR(VLOOKUP(F9,Tarifs!$A$4:$D$11,2,FALSE),0)</f>
        <v/>
      </c>
      <c r="K9" s="9" t="n">
        <v>800</v>
      </c>
      <c r="L9" s="12">
        <f>I9*200</f>
        <v/>
      </c>
      <c r="M9" s="12">
        <f>MAX(0,K9-L9)</f>
        <v/>
      </c>
      <c r="N9" s="13">
        <f>ROUND(M9*0.25,2)</f>
        <v/>
      </c>
      <c r="O9" s="8" t="inlineStr">
        <is>
          <t>Oui</t>
        </is>
      </c>
      <c r="P9" s="13">
        <f>IF(O9="Oui",I9*IFERROR(VLOOKUP(F9,Tarifs!$A$4:$D$11,4,FALSE),0),0)</f>
        <v/>
      </c>
      <c r="Q9" s="13">
        <f>ROUND(I9*J9+N9+P9,2)</f>
        <v/>
      </c>
      <c r="R9" s="13">
        <f>ROUND(Q9*0.2,2)</f>
        <v/>
      </c>
      <c r="S9" s="13">
        <f>Q9+R9</f>
        <v/>
      </c>
      <c r="T9" s="8" t="inlineStr">
        <is>
          <t>Payée</t>
        </is>
      </c>
    </row>
    <row r="10">
      <c r="A10" s="3" t="inlineStr">
        <is>
          <t>FAC-2026-007</t>
        </is>
      </c>
      <c r="B10" s="4" t="n">
        <v>46078</v>
      </c>
      <c r="C10" s="5" t="inlineStr">
        <is>
          <t>Léa Girard</t>
        </is>
      </c>
      <c r="D10" s="5" t="inlineStr">
        <is>
          <t>Nantes</t>
        </is>
      </c>
      <c r="E10" s="5" t="inlineStr">
        <is>
          <t>Renault Espace</t>
        </is>
      </c>
      <c r="F10" s="5" t="inlineStr">
        <is>
          <t>Monospace</t>
        </is>
      </c>
      <c r="G10" s="4" t="n">
        <v>46075</v>
      </c>
      <c r="H10" s="4" t="n">
        <v>46079</v>
      </c>
      <c r="I10" s="6">
        <f>H10-G10</f>
        <v/>
      </c>
      <c r="J10" s="7">
        <f>IFERROR(VLOOKUP(F10,Tarifs!$A$4:$D$11,2,FALSE),0)</f>
        <v/>
      </c>
      <c r="K10" s="3" t="n">
        <v>650</v>
      </c>
      <c r="L10" s="6">
        <f>I10*200</f>
        <v/>
      </c>
      <c r="M10" s="6">
        <f>MAX(0,K10-L10)</f>
        <v/>
      </c>
      <c r="N10" s="7">
        <f>ROUND(M10*0.25,2)</f>
        <v/>
      </c>
      <c r="O10" s="8" t="inlineStr">
        <is>
          <t>Oui</t>
        </is>
      </c>
      <c r="P10" s="7">
        <f>IF(O10="Oui",I10*IFERROR(VLOOKUP(F10,Tarifs!$A$4:$D$11,4,FALSE),0),0)</f>
        <v/>
      </c>
      <c r="Q10" s="7">
        <f>ROUND(I10*J10+N10+P10,2)</f>
        <v/>
      </c>
      <c r="R10" s="7">
        <f>ROUND(Q10*0.2,2)</f>
        <v/>
      </c>
      <c r="S10" s="7">
        <f>Q10+R10</f>
        <v/>
      </c>
      <c r="T10" s="8" t="inlineStr">
        <is>
          <t>En attente</t>
        </is>
      </c>
    </row>
    <row r="11">
      <c r="A11" s="9" t="inlineStr">
        <is>
          <t>FAC-2026-008</t>
        </is>
      </c>
      <c r="B11" s="10" t="n">
        <v>46084</v>
      </c>
      <c r="C11" s="11" t="inlineStr">
        <is>
          <t>Nicolas Fontaine</t>
        </is>
      </c>
      <c r="D11" s="11" t="inlineStr">
        <is>
          <t>Strasbourg</t>
        </is>
      </c>
      <c r="E11" s="11" t="inlineStr">
        <is>
          <t>Peugeot 208</t>
        </is>
      </c>
      <c r="F11" s="11" t="inlineStr">
        <is>
          <t>Citadine</t>
        </is>
      </c>
      <c r="G11" s="10" t="n">
        <v>46081</v>
      </c>
      <c r="H11" s="10" t="n">
        <v>46085</v>
      </c>
      <c r="I11" s="12">
        <f>H11-G11</f>
        <v/>
      </c>
      <c r="J11" s="13">
        <f>IFERROR(VLOOKUP(F11,Tarifs!$A$4:$D$11,2,FALSE),0)</f>
        <v/>
      </c>
      <c r="K11" s="9" t="n">
        <v>400</v>
      </c>
      <c r="L11" s="12">
        <f>I11*200</f>
        <v/>
      </c>
      <c r="M11" s="12">
        <f>MAX(0,K11-L11)</f>
        <v/>
      </c>
      <c r="N11" s="13">
        <f>ROUND(M11*0.25,2)</f>
        <v/>
      </c>
      <c r="O11" s="8" t="inlineStr">
        <is>
          <t>Non</t>
        </is>
      </c>
      <c r="P11" s="13">
        <f>IF(O11="Oui",I11*IFERROR(VLOOKUP(F11,Tarifs!$A$4:$D$11,4,FALSE),0),0)</f>
        <v/>
      </c>
      <c r="Q11" s="13">
        <f>ROUND(I11*J11+N11+P11,2)</f>
        <v/>
      </c>
      <c r="R11" s="13">
        <f>ROUND(Q11*0.2,2)</f>
        <v/>
      </c>
      <c r="S11" s="13">
        <f>Q11+R11</f>
        <v/>
      </c>
      <c r="T11" s="8" t="inlineStr">
        <is>
          <t>Payée</t>
        </is>
      </c>
    </row>
    <row r="12">
      <c r="A12" s="3" t="inlineStr">
        <is>
          <t>FAC-2026-009</t>
        </is>
      </c>
      <c r="B12" s="4" t="n">
        <v>46092</v>
      </c>
      <c r="C12" s="5" t="inlineStr">
        <is>
          <t>Manon Roux</t>
        </is>
      </c>
      <c r="D12" s="5" t="inlineStr">
        <is>
          <t>Nice</t>
        </is>
      </c>
      <c r="E12" s="5" t="inlineStr">
        <is>
          <t>Audi TT Cabriolet</t>
        </is>
      </c>
      <c r="F12" s="5" t="inlineStr">
        <is>
          <t>Cabriolet</t>
        </is>
      </c>
      <c r="G12" s="4" t="n">
        <v>46089</v>
      </c>
      <c r="H12" s="4" t="n">
        <v>46093</v>
      </c>
      <c r="I12" s="6">
        <f>H12-G12</f>
        <v/>
      </c>
      <c r="J12" s="7">
        <f>IFERROR(VLOOKUP(F12,Tarifs!$A$4:$D$11,2,FALSE),0)</f>
        <v/>
      </c>
      <c r="K12" s="3" t="n">
        <v>550</v>
      </c>
      <c r="L12" s="6">
        <f>I12*200</f>
        <v/>
      </c>
      <c r="M12" s="6">
        <f>MAX(0,K12-L12)</f>
        <v/>
      </c>
      <c r="N12" s="7">
        <f>ROUND(M12*0.25,2)</f>
        <v/>
      </c>
      <c r="O12" s="8" t="inlineStr">
        <is>
          <t>Oui</t>
        </is>
      </c>
      <c r="P12" s="7">
        <f>IF(O12="Oui",I12*IFERROR(VLOOKUP(F12,Tarifs!$A$4:$D$11,4,FALSE),0),0)</f>
        <v/>
      </c>
      <c r="Q12" s="7">
        <f>ROUND(I12*J12+N12+P12,2)</f>
        <v/>
      </c>
      <c r="R12" s="7">
        <f>ROUND(Q12*0.2,2)</f>
        <v/>
      </c>
      <c r="S12" s="7">
        <f>Q12+R12</f>
        <v/>
      </c>
      <c r="T12" s="8" t="inlineStr">
        <is>
          <t>Payée</t>
        </is>
      </c>
    </row>
    <row r="13">
      <c r="A13" s="9" t="inlineStr">
        <is>
          <t>FAC-2026-010</t>
        </is>
      </c>
      <c r="B13" s="10" t="n">
        <v>46100</v>
      </c>
      <c r="C13" s="11" t="inlineStr">
        <is>
          <t>Antoine Moreau</t>
        </is>
      </c>
      <c r="D13" s="11" t="inlineStr">
        <is>
          <t>Rennes</t>
        </is>
      </c>
      <c r="E13" s="11" t="inlineStr">
        <is>
          <t>Volkswagen Golf</t>
        </is>
      </c>
      <c r="F13" s="11" t="inlineStr">
        <is>
          <t>Compacte</t>
        </is>
      </c>
      <c r="G13" s="10" t="n">
        <v>46097</v>
      </c>
      <c r="H13" s="10" t="n">
        <v>46101</v>
      </c>
      <c r="I13" s="12">
        <f>H13-G13</f>
        <v/>
      </c>
      <c r="J13" s="13">
        <f>IFERROR(VLOOKUP(F13,Tarifs!$A$4:$D$11,2,FALSE),0)</f>
        <v/>
      </c>
      <c r="K13" s="9" t="n">
        <v>480</v>
      </c>
      <c r="L13" s="12">
        <f>I13*200</f>
        <v/>
      </c>
      <c r="M13" s="12">
        <f>MAX(0,K13-L13)</f>
        <v/>
      </c>
      <c r="N13" s="13">
        <f>ROUND(M13*0.25,2)</f>
        <v/>
      </c>
      <c r="O13" s="8" t="inlineStr">
        <is>
          <t>Non</t>
        </is>
      </c>
      <c r="P13" s="13">
        <f>IF(O13="Oui",I13*IFERROR(VLOOKUP(F13,Tarifs!$A$4:$D$11,4,FALSE),0),0)</f>
        <v/>
      </c>
      <c r="Q13" s="13">
        <f>ROUND(I13*J13+N13+P13,2)</f>
        <v/>
      </c>
      <c r="R13" s="13">
        <f>ROUND(Q13*0.2,2)</f>
        <v/>
      </c>
      <c r="S13" s="13">
        <f>Q13+R13</f>
        <v/>
      </c>
      <c r="T13" s="8" t="inlineStr">
        <is>
          <t>Retard</t>
        </is>
      </c>
    </row>
    <row r="15">
      <c r="A15" s="14" t="n"/>
      <c r="B15" s="14" t="n"/>
      <c r="C15" s="14" t="n"/>
      <c r="D15" s="14" t="n"/>
      <c r="E15" s="14" t="n"/>
      <c r="F15" s="14" t="n"/>
      <c r="G15" s="14" t="n"/>
      <c r="H15" s="15" t="inlineStr">
        <is>
          <t>TOTAUX</t>
        </is>
      </c>
      <c r="I15" s="15">
        <f>SUM(I4:I13)</f>
        <v/>
      </c>
      <c r="J15" s="14" t="n"/>
      <c r="K15" s="14" t="n"/>
      <c r="L15" s="14" t="n"/>
      <c r="M15" s="14" t="n"/>
      <c r="N15" s="16">
        <f>SUM(N4:N13)</f>
        <v/>
      </c>
      <c r="O15" s="14" t="n"/>
      <c r="P15" s="16">
        <f>SUM(P4:P13)</f>
        <v/>
      </c>
      <c r="Q15" s="16">
        <f>SUM(Q4:Q13)</f>
        <v/>
      </c>
      <c r="R15" s="16">
        <f>SUM(R4:R13)</f>
        <v/>
      </c>
      <c r="S15" s="16">
        <f>SUM(S4:S13)</f>
        <v/>
      </c>
      <c r="T15" s="14" t="n"/>
    </row>
  </sheetData>
  <mergeCells count="1">
    <mergeCell ref="A1:T1"/>
  </mergeCells>
  <conditionalFormatting sqref="T4:T13">
    <cfRule type="expression" priority="1" dxfId="0" stopIfTrue="1">
      <formula>T4="Payée"</formula>
    </cfRule>
    <cfRule type="expression" priority="2" dxfId="1" stopIfTrue="1">
      <formula>T4="En attente"</formula>
    </cfRule>
    <cfRule type="expression" priority="3" dxfId="2" stopIfTrue="1">
      <formula>T4="Retard"</formula>
    </cfRule>
  </conditionalFormatting>
  <conditionalFormatting sqref="M4:M13">
    <cfRule type="expression" priority="4" dxfId="3" stopIfTrue="0">
      <formula>M4&gt;0</formula>
    </cfRule>
  </conditionalFormatting>
  <dataValidations count="3">
    <dataValidation sqref="O4:O13" showErrorMessage="1" showInputMessage="1" allowBlank="0" type="list">
      <formula1>"Oui,Non"</formula1>
    </dataValidation>
    <dataValidation sqref="T4:T13" showErrorMessage="1" showInputMessage="1" allowBlank="0" type="list">
      <formula1>"Payée,En attente,Retard"</formula1>
    </dataValidation>
    <dataValidation sqref="F4:F13" showErrorMessage="1" showInputMessage="1" allowBlank="0" type="list">
      <formula1>"Citadine,Compacte,Berline,SUV,Utilitaire,Luxe,Monospace,Cabriolet"</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16" customWidth="1" min="1" max="1"/>
    <col width="15" customWidth="1" min="2" max="2"/>
    <col width="15" customWidth="1" min="3" max="3"/>
    <col width="20" customWidth="1" min="4" max="4"/>
  </cols>
  <sheetData>
    <row r="1" ht="26" customHeight="1">
      <c r="A1" s="1" t="inlineStr">
        <is>
          <t>GRILLE TARIFAIRE PAR CATÉGORIE DE VÉHICULE</t>
        </is>
      </c>
    </row>
    <row r="2" ht="6" customHeight="1"/>
    <row r="3" ht="26" customHeight="1">
      <c r="A3" s="2" t="inlineStr">
        <is>
          <t>Catégorie</t>
        </is>
      </c>
      <c r="B3" s="2" t="inlineStr">
        <is>
          <t>Tarif Jour HT</t>
        </is>
      </c>
      <c r="C3" s="2" t="inlineStr">
        <is>
          <t>Franchise (€)</t>
        </is>
      </c>
      <c r="D3" s="2" t="inlineStr">
        <is>
          <t>Assurance / jour (€)</t>
        </is>
      </c>
    </row>
    <row r="4">
      <c r="A4" s="17" t="inlineStr">
        <is>
          <t>Citadine</t>
        </is>
      </c>
      <c r="B4" s="18" t="n">
        <v>35</v>
      </c>
      <c r="C4" s="18" t="n">
        <v>800</v>
      </c>
      <c r="D4" s="18" t="n">
        <v>12</v>
      </c>
    </row>
    <row r="5">
      <c r="A5" s="19" t="inlineStr">
        <is>
          <t>Compacte</t>
        </is>
      </c>
      <c r="B5" s="20" t="n">
        <v>45</v>
      </c>
      <c r="C5" s="20" t="n">
        <v>900</v>
      </c>
      <c r="D5" s="20" t="n">
        <v>14</v>
      </c>
    </row>
    <row r="6">
      <c r="A6" s="17" t="inlineStr">
        <is>
          <t>Berline</t>
        </is>
      </c>
      <c r="B6" s="18" t="n">
        <v>65</v>
      </c>
      <c r="C6" s="18" t="n">
        <v>1200</v>
      </c>
      <c r="D6" s="18" t="n">
        <v>18</v>
      </c>
    </row>
    <row r="7">
      <c r="A7" s="19" t="inlineStr">
        <is>
          <t>SUV</t>
        </is>
      </c>
      <c r="B7" s="20" t="n">
        <v>85</v>
      </c>
      <c r="C7" s="20" t="n">
        <v>1500</v>
      </c>
      <c r="D7" s="20" t="n">
        <v>22</v>
      </c>
    </row>
    <row r="8">
      <c r="A8" s="17" t="inlineStr">
        <is>
          <t>Utilitaire</t>
        </is>
      </c>
      <c r="B8" s="18" t="n">
        <v>55</v>
      </c>
      <c r="C8" s="18" t="n">
        <v>1000</v>
      </c>
      <c r="D8" s="18" t="n">
        <v>15</v>
      </c>
    </row>
    <row r="9">
      <c r="A9" s="19" t="inlineStr">
        <is>
          <t>Luxe</t>
        </is>
      </c>
      <c r="B9" s="20" t="n">
        <v>150</v>
      </c>
      <c r="C9" s="20" t="n">
        <v>2500</v>
      </c>
      <c r="D9" s="20" t="n">
        <v>35</v>
      </c>
    </row>
    <row r="10">
      <c r="A10" s="17" t="inlineStr">
        <is>
          <t>Monospace</t>
        </is>
      </c>
      <c r="B10" s="18" t="n">
        <v>70</v>
      </c>
      <c r="C10" s="18" t="n">
        <v>1300</v>
      </c>
      <c r="D10" s="18" t="n">
        <v>19</v>
      </c>
    </row>
    <row r="11">
      <c r="A11" s="19" t="inlineStr">
        <is>
          <t>Cabriolet</t>
        </is>
      </c>
      <c r="B11" s="20" t="n">
        <v>95</v>
      </c>
      <c r="C11" s="20" t="n">
        <v>1800</v>
      </c>
      <c r="D11" s="20" t="n">
        <v>25</v>
      </c>
    </row>
  </sheetData>
  <mergeCells count="1">
    <mergeCell ref="A1:D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cols>
    <col width="22" customWidth="1" min="1" max="1"/>
    <col width="15" customWidth="1" min="2" max="2"/>
    <col width="14" customWidth="1" min="3" max="3"/>
    <col width="14" customWidth="1" min="4" max="4"/>
    <col width="14" customWidth="1" min="5" max="5"/>
    <col width="14" customWidth="1" min="6" max="6"/>
  </cols>
  <sheetData>
    <row r="1" ht="28" customHeight="1">
      <c r="A1" s="1" t="inlineStr">
        <is>
          <t>TABLEAU DE BORD — LOCATION DE VÉHICULES</t>
        </is>
      </c>
    </row>
    <row r="3">
      <c r="A3" s="21" t="inlineStr">
        <is>
          <t>Chiffre d'affaires TTC total</t>
        </is>
      </c>
      <c r="B3" s="22" t="n"/>
      <c r="C3" s="23" t="n"/>
      <c r="D3" s="16">
        <f>SUM(Factures!S4:S13)</f>
        <v/>
      </c>
      <c r="E3" s="22" t="n"/>
      <c r="F3" s="23" t="n"/>
    </row>
    <row r="4">
      <c r="A4" s="21" t="inlineStr">
        <is>
          <t>Nombre de factures</t>
        </is>
      </c>
      <c r="B4" s="22" t="n"/>
      <c r="C4" s="23" t="n"/>
      <c r="D4" s="15">
        <f>COUNTA(Factures!A4:A13)</f>
        <v/>
      </c>
      <c r="E4" s="22" t="n"/>
      <c r="F4" s="23" t="n"/>
    </row>
    <row r="5">
      <c r="A5" s="21" t="inlineStr">
        <is>
          <t>Panier moyen TTC</t>
        </is>
      </c>
      <c r="B5" s="22" t="n"/>
      <c r="C5" s="23" t="n"/>
      <c r="D5" s="16">
        <f>IFERROR(AVERAGE(Factures!S4:S13),0)</f>
        <v/>
      </c>
      <c r="E5" s="22" t="n"/>
      <c r="F5" s="23" t="n"/>
    </row>
    <row r="6">
      <c r="A6" s="21" t="inlineStr">
        <is>
          <t>TVA collectée totale</t>
        </is>
      </c>
      <c r="B6" s="22" t="n"/>
      <c r="C6" s="23" t="n"/>
      <c r="D6" s="16">
        <f>SUM(Factures!R4:R13)</f>
        <v/>
      </c>
      <c r="E6" s="22" t="n"/>
      <c r="F6" s="23" t="n"/>
    </row>
    <row r="7">
      <c r="A7" s="21" t="inlineStr">
        <is>
          <t>Factures en retard</t>
        </is>
      </c>
      <c r="B7" s="22" t="n"/>
      <c r="C7" s="23" t="n"/>
      <c r="D7" s="15">
        <f>COUNTIF(Factures!T4:T13,"Retard")</f>
        <v/>
      </c>
      <c r="E7" s="22" t="n"/>
      <c r="F7" s="23" t="n"/>
    </row>
    <row r="10">
      <c r="A10" s="24" t="inlineStr">
        <is>
          <t>Chiffre d'affaires par catégorie</t>
        </is>
      </c>
    </row>
    <row r="11">
      <c r="A11" s="2" t="inlineStr">
        <is>
          <t>Catégorie</t>
        </is>
      </c>
      <c r="B11" s="2" t="inlineStr">
        <is>
          <t>CA TTC</t>
        </is>
      </c>
      <c r="C11" s="2" t="inlineStr">
        <is>
          <t>Nb locations</t>
        </is>
      </c>
    </row>
    <row r="12">
      <c r="A12" s="5" t="inlineStr">
        <is>
          <t>Citadine</t>
        </is>
      </c>
      <c r="B12" s="18">
        <f>SUMIF(Factures!$F$4:$F$13,A12,Factures!$S$4:$S$13)</f>
        <v/>
      </c>
      <c r="C12" s="3">
        <f>COUNTIF(Factures!$F$4:$F$13,A12)</f>
        <v/>
      </c>
    </row>
    <row r="13">
      <c r="A13" s="11" t="inlineStr">
        <is>
          <t>Compacte</t>
        </is>
      </c>
      <c r="B13" s="20">
        <f>SUMIF(Factures!$F$4:$F$13,A13,Factures!$S$4:$S$13)</f>
        <v/>
      </c>
      <c r="C13" s="9">
        <f>COUNTIF(Factures!$F$4:$F$13,A13)</f>
        <v/>
      </c>
    </row>
    <row r="14">
      <c r="A14" s="5" t="inlineStr">
        <is>
          <t>Berline</t>
        </is>
      </c>
      <c r="B14" s="18">
        <f>SUMIF(Factures!$F$4:$F$13,A14,Factures!$S$4:$S$13)</f>
        <v/>
      </c>
      <c r="C14" s="3">
        <f>COUNTIF(Factures!$F$4:$F$13,A14)</f>
        <v/>
      </c>
    </row>
    <row r="15">
      <c r="A15" s="11" t="inlineStr">
        <is>
          <t>SUV</t>
        </is>
      </c>
      <c r="B15" s="20">
        <f>SUMIF(Factures!$F$4:$F$13,A15,Factures!$S$4:$S$13)</f>
        <v/>
      </c>
      <c r="C15" s="9">
        <f>COUNTIF(Factures!$F$4:$F$13,A15)</f>
        <v/>
      </c>
    </row>
    <row r="16">
      <c r="A16" s="5" t="inlineStr">
        <is>
          <t>Utilitaire</t>
        </is>
      </c>
      <c r="B16" s="18">
        <f>SUMIF(Factures!$F$4:$F$13,A16,Factures!$S$4:$S$13)</f>
        <v/>
      </c>
      <c r="C16" s="3">
        <f>COUNTIF(Factures!$F$4:$F$13,A16)</f>
        <v/>
      </c>
    </row>
    <row r="17">
      <c r="A17" s="11" t="inlineStr">
        <is>
          <t>Luxe</t>
        </is>
      </c>
      <c r="B17" s="20">
        <f>SUMIF(Factures!$F$4:$F$13,A17,Factures!$S$4:$S$13)</f>
        <v/>
      </c>
      <c r="C17" s="9">
        <f>COUNTIF(Factures!$F$4:$F$13,A17)</f>
        <v/>
      </c>
    </row>
    <row r="18">
      <c r="A18" s="5" t="inlineStr">
        <is>
          <t>Monospace</t>
        </is>
      </c>
      <c r="B18" s="18">
        <f>SUMIF(Factures!$F$4:$F$13,A18,Factures!$S$4:$S$13)</f>
        <v/>
      </c>
      <c r="C18" s="3">
        <f>COUNTIF(Factures!$F$4:$F$13,A18)</f>
        <v/>
      </c>
    </row>
    <row r="19">
      <c r="A19" s="11" t="inlineStr">
        <is>
          <t>Cabriolet</t>
        </is>
      </c>
      <c r="B19" s="20">
        <f>SUMIF(Factures!$F$4:$F$13,A19,Factures!$S$4:$S$13)</f>
        <v/>
      </c>
      <c r="C19" s="9">
        <f>COUNTIF(Factures!$F$4:$F$13,A19)</f>
        <v/>
      </c>
    </row>
    <row r="22">
      <c r="A22" s="25" t="inlineStr">
        <is>
          <t>Répartition par statut</t>
        </is>
      </c>
    </row>
    <row r="23">
      <c r="A23" s="2" t="inlineStr">
        <is>
          <t>Statut</t>
        </is>
      </c>
      <c r="B23" s="2" t="inlineStr">
        <is>
          <t>Nombre</t>
        </is>
      </c>
    </row>
    <row r="24">
      <c r="A24" s="5" t="inlineStr">
        <is>
          <t>Payée</t>
        </is>
      </c>
      <c r="B24" s="3">
        <f>COUNTIF(Factures!$T$4:$T$13,A24)</f>
        <v/>
      </c>
    </row>
    <row r="25">
      <c r="A25" s="11" t="inlineStr">
        <is>
          <t>En attente</t>
        </is>
      </c>
      <c r="B25" s="9">
        <f>COUNTIF(Factures!$T$4:$T$13,A25)</f>
        <v/>
      </c>
    </row>
    <row r="26">
      <c r="A26" s="5" t="inlineStr">
        <is>
          <t>Retard</t>
        </is>
      </c>
      <c r="B26" s="3">
        <f>COUNTIF(Factures!$T$4:$T$13,A26)</f>
        <v/>
      </c>
    </row>
  </sheetData>
  <mergeCells count="13">
    <mergeCell ref="A1:F1"/>
    <mergeCell ref="A3:C3"/>
    <mergeCell ref="D3:F3"/>
    <mergeCell ref="A4:C4"/>
    <mergeCell ref="D4:F4"/>
    <mergeCell ref="A5:C5"/>
    <mergeCell ref="D5:F5"/>
    <mergeCell ref="A6:C6"/>
    <mergeCell ref="D6:F6"/>
    <mergeCell ref="A7:C7"/>
    <mergeCell ref="D7:F7"/>
    <mergeCell ref="A10:F10"/>
    <mergeCell ref="A22:F22"/>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26" customWidth="1" min="1" max="1"/>
    <col width="90" customWidth="1" min="2" max="2"/>
  </cols>
  <sheetData>
    <row r="1" ht="26" customHeight="1">
      <c r="A1" s="1" t="inlineStr">
        <is>
          <t>MODE D'EMPLOI</t>
        </is>
      </c>
    </row>
    <row r="3" ht="40" customHeight="1">
      <c r="A3" s="26" t="inlineStr">
        <is>
          <t>Objectif du classeur</t>
        </is>
      </c>
      <c r="B3" s="27" t="inlineStr">
        <is>
          <t>Ce classeur permet de gérer la facturation d'une activité de location de véhicules : suivi des factures, tarification, TVA et tableau de bord.</t>
        </is>
      </c>
    </row>
    <row r="4" ht="40" customHeight="1">
      <c r="A4" s="26" t="inlineStr">
        <is>
          <t>Feuille Factures</t>
        </is>
      </c>
      <c r="B4" s="27" t="inlineStr">
        <is>
          <t>Liste des factures émises. Saisissez le client, le véhicule, la catégorie, les dates de location et le kilométrage. Le tarif jour, les frais de km supplémentaires, l'assurance et les totaux HT/TVA/TTC se calculent automatiquement.</t>
        </is>
      </c>
    </row>
    <row r="5" ht="40" customHeight="1">
      <c r="A5" s="26" t="inlineStr">
        <is>
          <t>Colonne Catégorie</t>
        </is>
      </c>
      <c r="B5" s="27" t="inlineStr">
        <is>
          <t>Choisissez une catégorie dans la liste déroulante (Citadine, Compacte, Berline, SUV, Utilitaire, Luxe, Monospace, Cabriolet). Le tarif jour est récupéré automatiquement via VLOOKUP depuis la feuille Tarifs.</t>
        </is>
      </c>
    </row>
    <row r="6" ht="40" customHeight="1">
      <c r="A6" s="26" t="inlineStr">
        <is>
          <t>Colonne Assurance</t>
        </is>
      </c>
      <c r="B6" s="27" t="inlineStr">
        <is>
          <t>Sélectionnez Oui ou Non. Si Oui, les frais d'assurance journaliers sont ajoutés automatiquement au sous-total.</t>
        </is>
      </c>
    </row>
    <row r="7" ht="40" customHeight="1">
      <c r="A7" s="26" t="inlineStr">
        <is>
          <t>Km inclus / Km supp.</t>
        </is>
      </c>
      <c r="B7" s="27" t="inlineStr">
        <is>
          <t>200 km/jour sont inclus. Tout kilomètre au-delà est facturé 0,25 € et signalé en surbrillance rouge.</t>
        </is>
      </c>
    </row>
    <row r="8" ht="40" customHeight="1">
      <c r="A8" s="26" t="inlineStr">
        <is>
          <t>Colonne Statut</t>
        </is>
      </c>
      <c r="B8" s="27" t="inlineStr">
        <is>
          <t>Choisissez Payée, En attente ou Retard. Les couleurs (vert/orange/rouge) s'appliquent automatiquement.</t>
        </is>
      </c>
    </row>
    <row r="9" ht="40" customHeight="1">
      <c r="A9" s="26" t="inlineStr">
        <is>
          <t>Feuille Tarifs</t>
        </is>
      </c>
      <c r="B9" s="27" t="inlineStr">
        <is>
          <t>Grille tarifaire modifiable par catégorie de véhicule : tarif jour HT, franchise et coût d'assurance journalier. Toute modification met à jour automatiquement les factures.</t>
        </is>
      </c>
    </row>
    <row r="10" ht="40" customHeight="1">
      <c r="A10" s="26" t="inlineStr">
        <is>
          <t>Feuille Tableau de bord</t>
        </is>
      </c>
      <c r="B10" s="27" t="inlineStr">
        <is>
          <t>Indicateurs clés (CA total, nombre de factures, panier moyen, TVA collectée, retards) et graphiques : CA par catégorie et répartition des statuts.</t>
        </is>
      </c>
    </row>
    <row r="11" ht="40" customHeight="1">
      <c r="A11" s="26" t="inlineStr">
        <is>
          <t>Cellules jaune pâle</t>
        </is>
      </c>
      <c r="B11" s="27" t="inlineStr">
        <is>
          <t>Ce sont les cellules éditables : Assurance et Statut sur la feuille Factures.</t>
        </is>
      </c>
    </row>
    <row r="12" ht="40" customHeight="1">
      <c r="A12" s="26" t="inlineStr">
        <is>
          <t>Bonnes pratiques</t>
        </is>
      </c>
      <c r="B12" s="27" t="inlineStr">
        <is>
          <t>Ne modifiez pas les formules dans les cellules calculées (fond blanc/rose). Ajoutez de nouvelles lignes en respectant la structure existante.</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2026-07-18T16:41:50Z</dcterms:created>
  <dcterms:modified xmlns:dcterms="http://purl.org/dc/terms/" xmlns:xsi="http://www.w3.org/2001/XMLSchema-instance" xsi:type="dcterms:W3CDTF">2026-07-18T16:41:50Z</dcterms:modified>
</cp:coreProperties>
</file>