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comptable" sheetId="1" state="visible" r:id="rId1"/>
    <sheet xmlns:r="http://schemas.openxmlformats.org/officeDocument/2006/relationships" name="États financiers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'Journal comptable'!$A$2:$P$12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\ ##0,00\ &quot;€&quot;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FFBE123C"/>
      <sz val="16"/>
    </font>
    <font>
      <name val="Calibri"/>
      <b val="1"/>
      <color rgb="FFFFFFFF"/>
      <sz val="11"/>
    </font>
    <font>
      <name val="Calibri"/>
      <color rgb="FF1F2937"/>
      <sz val="11"/>
    </font>
    <font>
      <name val="Calibri"/>
      <b val="1"/>
      <color rgb="FF1F2937"/>
      <sz val="11"/>
    </font>
    <font>
      <name val="Calibri"/>
      <b val="1"/>
      <color rgb="FF16A34A"/>
      <sz val="11"/>
    </font>
  </fonts>
  <fills count="8">
    <fill>
      <patternFill/>
    </fill>
    <fill>
      <patternFill patternType="gray125"/>
    </fill>
    <fill>
      <patternFill patternType="solid">
        <fgColor rgb="FFE11D48"/>
      </patternFill>
    </fill>
    <fill>
      <patternFill patternType="solid">
        <fgColor rgb="FFFFFBEB"/>
      </patternFill>
    </fill>
    <fill>
      <patternFill patternType="solid">
        <fgColor rgb="FFFDF0F3"/>
      </patternFill>
    </fill>
    <fill>
      <patternFill patternType="solid">
        <fgColor rgb="FFFFFFFF"/>
      </patternFill>
    </fill>
    <fill>
      <patternFill patternType="solid">
        <fgColor rgb="FFBE123C"/>
      </patternFill>
    </fill>
    <fill>
      <patternFill patternType="solid">
        <fgColor rgb="FF0891B2"/>
      </patternFill>
    </fill>
  </fills>
  <borders count="5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3" fillId="4" borderId="1" pivotButton="0" quotePrefix="0" xfId="0"/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3" fillId="5" borderId="1" pivotButton="0" quotePrefix="0" xfId="0"/>
    <xf numFmtId="0" fontId="0" fillId="7" borderId="1" pivotButton="0" quotePrefix="0" xfId="0"/>
    <xf numFmtId="0" fontId="2" fillId="7" borderId="1" applyAlignment="1" pivotButton="0" quotePrefix="0" xfId="0">
      <alignment horizontal="center" vertical="center" wrapText="1"/>
    </xf>
    <xf numFmtId="165" fontId="2" fillId="7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left" vertical="center" wrapText="1"/>
    </xf>
    <xf numFmtId="0" fontId="0" fillId="6" borderId="0" pivotButton="0" quotePrefix="0" xfId="0"/>
    <xf numFmtId="165" fontId="0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6" fontId="4" fillId="5" borderId="1" applyAlignment="1" pivotButton="0" quotePrefix="0" xfId="0">
      <alignment horizontal="right" vertical="center"/>
    </xf>
    <xf numFmtId="0" fontId="3" fillId="3" borderId="1" pivotButton="0" quotePrefix="0" xfId="0"/>
    <xf numFmtId="165" fontId="0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0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2" fillId="7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0" fillId="0" borderId="4" pivotButton="0" quotePrefix="0" xfId="0"/>
  </cellXfs>
  <cellStyles count="1">
    <cellStyle name="Normal" xfId="0" builtinId="0" hidden="0"/>
  </cellStyles>
  <dxfs count="3">
    <dxf>
      <font>
        <name val="Calibri"/>
        <b val="1"/>
        <color rgb="FFDC2626"/>
        <sz val="11"/>
      </font>
      <fill>
        <patternFill patternType="solid">
          <fgColor rgb="FFFEE2E2"/>
        </patternFill>
      </fill>
    </dxf>
    <dxf>
      <font>
        <name val="Calibri"/>
        <b val="1"/>
        <color rgb="FF16A34A"/>
        <sz val="11"/>
      </font>
    </dxf>
    <dxf>
      <font>
        <name val="Calibri"/>
        <b val="1"/>
        <color rgb="FF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d’affaires et charges par poste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'États financiers'!$A$4:$A$8</f>
            </numRef>
          </cat>
          <val>
            <numRef>
              <f>'États financiers'!$B$4:$B$8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charges</a:t>
            </a:r>
          </a:p>
        </rich>
      </tx>
    </title>
    <plotArea>
      <doughnutChart>
        <varyColors val="1"/>
        <ser>
          <idx val="0"/>
          <order val="0"/>
          <tx>
            <strRef>
              <f>'États financiers'!I2</f>
            </strRef>
          </tx>
          <spPr>
            <a:ln xmlns:a="http://schemas.openxmlformats.org/drawingml/2006/main">
              <a:prstDash val="solid"/>
            </a:ln>
          </spPr>
          <cat>
            <numRef>
              <f>'États financiers'!$H$3:$H$6</f>
            </numRef>
          </cat>
          <val>
            <numRef>
              <f>'États financiers'!$I$3:$I$6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du chiffre d’affaires HT</a:t>
            </a:r>
          </a:p>
        </rich>
      </tx>
    </title>
    <plotArea>
      <lineChart>
        <grouping val="standard"/>
        <ser>
          <idx val="0"/>
          <order val="0"/>
          <tx>
            <strRef>
              <f>'États financiers'!F2</f>
            </strRef>
          </tx>
          <spPr>
            <a:ln xmlns:a="http://schemas.openxmlformats.org/drawingml/2006/main" w="25000">
              <a:solidFill>
                <a:srgbClr val="E11D4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'États financiers'!$E$3:$E$14</f>
            </numRef>
          </cat>
          <val>
            <numRef>
              <f>'États financiers'!$F$3:$F$14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37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37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54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8" customWidth="1" min="3" max="3"/>
    <col width="22" customWidth="1" min="4" max="4"/>
    <col width="13" customWidth="1" min="5" max="5"/>
    <col width="22" customWidth="1" min="6" max="6"/>
    <col width="14" customWidth="1" min="7" max="7"/>
    <col width="18" customWidth="1" min="8" max="8"/>
    <col width="14" customWidth="1" min="9" max="9"/>
    <col width="10" customWidth="1" min="10" max="10"/>
    <col width="13" customWidth="1" min="11" max="11"/>
    <col width="14" customWidth="1" min="12" max="12"/>
    <col width="14" customWidth="1" min="13" max="13"/>
    <col width="12" customWidth="1" min="14" max="14"/>
    <col width="11" customWidth="1" min="15" max="15"/>
    <col width="11" customWidth="1" min="16" max="16"/>
    <col width="3" customWidth="1" min="17" max="17"/>
    <col width="10" customWidth="1" min="18" max="18"/>
    <col width="24" customWidth="1" min="19" max="19"/>
    <col width="24" customWidth="1" min="20" max="20"/>
  </cols>
  <sheetData>
    <row r="1" ht="26" customHeight="1">
      <c r="A1" s="1" t="inlineStr">
        <is>
          <t>Journal comptable — Exercice 2026</t>
        </is>
      </c>
    </row>
    <row r="2" ht="30" customHeight="1">
      <c r="A2" s="2" t="inlineStr">
        <is>
          <t>Date</t>
        </is>
      </c>
      <c r="B2" s="2" t="inlineStr">
        <is>
          <t>Référence</t>
        </is>
      </c>
      <c r="C2" s="2" t="inlineStr">
        <is>
          <t>Libellé</t>
        </is>
      </c>
      <c r="D2" s="2" t="inlineStr">
        <is>
          <t>Client / Fournisseur</t>
        </is>
      </c>
      <c r="E2" s="2" t="inlineStr">
        <is>
          <t>Ville</t>
        </is>
      </c>
      <c r="F2" s="2" t="inlineStr">
        <is>
          <t>Catégorie</t>
        </is>
      </c>
      <c r="G2" s="2" t="inlineStr">
        <is>
          <t>Compte comptable</t>
        </is>
      </c>
      <c r="H2" s="2" t="inlineStr">
        <is>
          <t>Type d'état</t>
        </is>
      </c>
      <c r="I2" s="2" t="inlineStr">
        <is>
          <t>Montant HT (€)</t>
        </is>
      </c>
      <c r="J2" s="2" t="inlineStr">
        <is>
          <t>Taux TVA</t>
        </is>
      </c>
      <c r="K2" s="2" t="inlineStr">
        <is>
          <t>TVA (€)</t>
        </is>
      </c>
      <c r="L2" s="2" t="inlineStr">
        <is>
          <t>Montant TTC (€)</t>
        </is>
      </c>
      <c r="M2" s="2" t="inlineStr">
        <is>
          <t>Sens</t>
        </is>
      </c>
      <c r="N2" s="2" t="inlineStr">
        <is>
          <t>Statut</t>
        </is>
      </c>
      <c r="O2" s="2" t="inlineStr">
        <is>
          <t>Mois</t>
        </is>
      </c>
      <c r="P2" s="2" t="inlineStr">
        <is>
          <t>Contrôle</t>
        </is>
      </c>
      <c r="R2" s="3" t="inlineStr">
        <is>
          <t>Compte</t>
        </is>
      </c>
      <c r="S2" s="3" t="inlineStr">
        <is>
          <t>Libellé du compte</t>
        </is>
      </c>
      <c r="T2" s="3" t="inlineStr">
        <is>
          <t>Vérification</t>
        </is>
      </c>
    </row>
    <row r="3">
      <c r="A3" s="39" t="n">
        <v>46027</v>
      </c>
      <c r="B3" s="5" t="inlineStr">
        <is>
          <t>FAC-2026-001</t>
        </is>
      </c>
      <c r="C3" s="6" t="inlineStr">
        <is>
          <t>Prestation informatique</t>
        </is>
      </c>
      <c r="D3" s="5" t="inlineStr">
        <is>
          <t>Camille Martin</t>
        </is>
      </c>
      <c r="E3" s="6" t="inlineStr">
        <is>
          <t>Paris</t>
        </is>
      </c>
      <c r="F3" s="6" t="inlineStr">
        <is>
          <t>Chiffre d’affaires</t>
        </is>
      </c>
      <c r="G3" s="7" t="n">
        <v>706000</v>
      </c>
      <c r="H3" s="5" t="inlineStr">
        <is>
          <t>Compte de résultat</t>
        </is>
      </c>
      <c r="I3" s="40" t="n">
        <v>4500</v>
      </c>
      <c r="J3" s="41" t="n">
        <v>0.2</v>
      </c>
      <c r="K3" s="42">
        <f>I3*J3</f>
        <v/>
      </c>
      <c r="L3" s="42">
        <f>I3+K3</f>
        <v/>
      </c>
      <c r="M3" s="11" t="inlineStr">
        <is>
          <t>Encaissement</t>
        </is>
      </c>
      <c r="N3" s="11" t="inlineStr">
        <is>
          <t>Validé</t>
        </is>
      </c>
      <c r="O3" s="11">
        <f>TEXT(A3,"mmmm")</f>
        <v/>
      </c>
      <c r="P3" s="11">
        <f>IF(OR(I3&lt;0,J3&lt;0),"À vérifier","OK")</f>
        <v/>
      </c>
      <c r="R3" s="12" t="n">
        <v>101000</v>
      </c>
      <c r="S3" s="12" t="inlineStr">
        <is>
          <t>Capital</t>
        </is>
      </c>
      <c r="T3" s="13">
        <f>IFERROR(VLOOKUP(G3,$R$3:$S$12,2,FALSE),"Compte non référencé")</f>
        <v/>
      </c>
    </row>
    <row r="4">
      <c r="A4" s="39" t="n">
        <v>46034</v>
      </c>
      <c r="B4" s="14" t="inlineStr">
        <is>
          <t>ACH-2026-002</t>
        </is>
      </c>
      <c r="C4" s="6" t="inlineStr">
        <is>
          <t>Achats de marchandises</t>
        </is>
      </c>
      <c r="D4" s="14" t="inlineStr">
        <is>
          <t>Julien Bernard</t>
        </is>
      </c>
      <c r="E4" s="6" t="inlineStr">
        <is>
          <t>Lyon</t>
        </is>
      </c>
      <c r="F4" s="6" t="inlineStr">
        <is>
          <t>Achats de marchandises</t>
        </is>
      </c>
      <c r="G4" s="7" t="n">
        <v>607000</v>
      </c>
      <c r="H4" s="14" t="inlineStr">
        <is>
          <t>Compte de résultat</t>
        </is>
      </c>
      <c r="I4" s="40" t="n">
        <v>1200</v>
      </c>
      <c r="J4" s="41" t="n">
        <v>0.2</v>
      </c>
      <c r="K4" s="43">
        <f>I4*J4</f>
        <v/>
      </c>
      <c r="L4" s="43">
        <f>I4+K4</f>
        <v/>
      </c>
      <c r="M4" s="16" t="inlineStr">
        <is>
          <t>Décaissement</t>
        </is>
      </c>
      <c r="N4" s="16" t="inlineStr">
        <is>
          <t>Validé</t>
        </is>
      </c>
      <c r="O4" s="16">
        <f>TEXT(A4,"mmmm")</f>
        <v/>
      </c>
      <c r="P4" s="16">
        <f>IF(OR(I4&lt;0,J4&lt;0),"À vérifier","OK")</f>
        <v/>
      </c>
      <c r="R4" s="17" t="n">
        <v>218000</v>
      </c>
      <c r="S4" s="17" t="inlineStr">
        <is>
          <t>Matériel informatique</t>
        </is>
      </c>
      <c r="T4" s="18">
        <f>IFERROR(VLOOKUP(G4,$R$3:$S$12,2,FALSE),"Compte non référencé")</f>
        <v/>
      </c>
    </row>
    <row r="5">
      <c r="A5" s="39" t="n">
        <v>46050</v>
      </c>
      <c r="B5" s="5" t="inlineStr">
        <is>
          <t>LOY-2026-003</t>
        </is>
      </c>
      <c r="C5" s="6" t="inlineStr">
        <is>
          <t>Loyer bureau</t>
        </is>
      </c>
      <c r="D5" s="5" t="inlineStr">
        <is>
          <t>Bailleur Marseille Sud</t>
        </is>
      </c>
      <c r="E5" s="6" t="inlineStr">
        <is>
          <t>Marseille</t>
        </is>
      </c>
      <c r="F5" s="6" t="inlineStr">
        <is>
          <t>Loyer</t>
        </is>
      </c>
      <c r="G5" s="7" t="n">
        <v>613000</v>
      </c>
      <c r="H5" s="5" t="inlineStr">
        <is>
          <t>Compte de résultat</t>
        </is>
      </c>
      <c r="I5" s="40" t="n">
        <v>1100</v>
      </c>
      <c r="J5" s="41" t="n">
        <v>0.2</v>
      </c>
      <c r="K5" s="42">
        <f>I5*J5</f>
        <v/>
      </c>
      <c r="L5" s="42">
        <f>I5+K5</f>
        <v/>
      </c>
      <c r="M5" s="11" t="inlineStr">
        <is>
          <t>Décaissement</t>
        </is>
      </c>
      <c r="N5" s="11" t="inlineStr">
        <is>
          <t>Validé</t>
        </is>
      </c>
      <c r="O5" s="11">
        <f>TEXT(A5,"mmmm")</f>
        <v/>
      </c>
      <c r="P5" s="11">
        <f>IF(OR(I5&lt;0,J5&lt;0),"À vérifier","OK")</f>
        <v/>
      </c>
      <c r="R5" s="12" t="n">
        <v>401000</v>
      </c>
      <c r="S5" s="12" t="inlineStr">
        <is>
          <t>Dettes fournisseurs</t>
        </is>
      </c>
      <c r="T5" s="13">
        <f>IFERROR(VLOOKUP(G5,$R$3:$S$12,2,FALSE),"Compte non référencé")</f>
        <v/>
      </c>
    </row>
    <row r="6">
      <c r="A6" s="39" t="n">
        <v>46058</v>
      </c>
      <c r="B6" s="14" t="inlineStr">
        <is>
          <t>FAC-2026-004</t>
        </is>
      </c>
      <c r="C6" s="6" t="inlineStr">
        <is>
          <t>Mission de conseil</t>
        </is>
      </c>
      <c r="D6" s="14" t="inlineStr">
        <is>
          <t>Émilie Moreau</t>
        </is>
      </c>
      <c r="E6" s="6" t="inlineStr">
        <is>
          <t>Toulouse</t>
        </is>
      </c>
      <c r="F6" s="6" t="inlineStr">
        <is>
          <t>Chiffre d’affaires</t>
        </is>
      </c>
      <c r="G6" s="7" t="n">
        <v>706000</v>
      </c>
      <c r="H6" s="14" t="inlineStr">
        <is>
          <t>Compte de résultat</t>
        </is>
      </c>
      <c r="I6" s="40" t="n">
        <v>3200</v>
      </c>
      <c r="J6" s="41" t="n">
        <v>0.2</v>
      </c>
      <c r="K6" s="43">
        <f>I6*J6</f>
        <v/>
      </c>
      <c r="L6" s="43">
        <f>I6+K6</f>
        <v/>
      </c>
      <c r="M6" s="16" t="inlineStr">
        <is>
          <t>Encaissement</t>
        </is>
      </c>
      <c r="N6" s="16" t="inlineStr">
        <is>
          <t>Validé</t>
        </is>
      </c>
      <c r="O6" s="16">
        <f>TEXT(A6,"mmmm")</f>
        <v/>
      </c>
      <c r="P6" s="16">
        <f>IF(OR(I6&lt;0,J6&lt;0),"À vérifier","OK")</f>
        <v/>
      </c>
      <c r="R6" s="17" t="n">
        <v>411000</v>
      </c>
      <c r="S6" s="17" t="inlineStr">
        <is>
          <t>Créances clients</t>
        </is>
      </c>
      <c r="T6" s="18">
        <f>IFERROR(VLOOKUP(G6,$R$3:$S$12,2,FALSE),"Compte non référencé")</f>
        <v/>
      </c>
    </row>
    <row r="7">
      <c r="A7" s="39" t="n">
        <v>46068</v>
      </c>
      <c r="B7" s="5" t="inlineStr">
        <is>
          <t>SAL-2026-005</t>
        </is>
      </c>
      <c r="C7" s="6" t="inlineStr">
        <is>
          <t>Salaire de février</t>
        </is>
      </c>
      <c r="D7" s="5" t="inlineStr">
        <is>
          <t>Lucas Petit</t>
        </is>
      </c>
      <c r="E7" s="6" t="inlineStr">
        <is>
          <t>Paris</t>
        </is>
      </c>
      <c r="F7" s="6" t="inlineStr">
        <is>
          <t>Salaires et charges</t>
        </is>
      </c>
      <c r="G7" s="7" t="n">
        <v>641000</v>
      </c>
      <c r="H7" s="5" t="inlineStr">
        <is>
          <t>Compte de résultat</t>
        </is>
      </c>
      <c r="I7" s="40" t="n">
        <v>2800</v>
      </c>
      <c r="J7" s="41" t="n">
        <v>0</v>
      </c>
      <c r="K7" s="42">
        <f>I7*J7</f>
        <v/>
      </c>
      <c r="L7" s="42">
        <f>I7+K7</f>
        <v/>
      </c>
      <c r="M7" s="11" t="inlineStr">
        <is>
          <t>Décaissement</t>
        </is>
      </c>
      <c r="N7" s="11" t="inlineStr">
        <is>
          <t>Validé</t>
        </is>
      </c>
      <c r="O7" s="11">
        <f>TEXT(A7,"mmmm")</f>
        <v/>
      </c>
      <c r="P7" s="11">
        <f>IF(OR(I7&lt;0,J7&lt;0),"À vérifier","OK")</f>
        <v/>
      </c>
      <c r="R7" s="12" t="n">
        <v>512000</v>
      </c>
      <c r="S7" s="12" t="inlineStr">
        <is>
          <t>Banque</t>
        </is>
      </c>
      <c r="T7" s="13">
        <f>IFERROR(VLOOKUP(G7,$R$3:$S$12,2,FALSE),"Compte non référencé")</f>
        <v/>
      </c>
    </row>
    <row r="8">
      <c r="A8" s="39" t="n">
        <v>46084</v>
      </c>
      <c r="B8" s="14" t="inlineStr">
        <is>
          <t>ABO-2026-006</t>
        </is>
      </c>
      <c r="C8" s="6" t="inlineStr">
        <is>
          <t>Abonnement logiciel</t>
        </is>
      </c>
      <c r="D8" s="14" t="inlineStr">
        <is>
          <t>SoftWare SAS</t>
        </is>
      </c>
      <c r="E8" s="6" t="inlineStr">
        <is>
          <t>Bordeaux</t>
        </is>
      </c>
      <c r="F8" s="6" t="inlineStr">
        <is>
          <t>Prestations externes</t>
        </is>
      </c>
      <c r="G8" s="7" t="n">
        <v>615000</v>
      </c>
      <c r="H8" s="14" t="inlineStr">
        <is>
          <t>Compte de résultat</t>
        </is>
      </c>
      <c r="I8" s="40" t="n">
        <v>450</v>
      </c>
      <c r="J8" s="41" t="n">
        <v>0.2</v>
      </c>
      <c r="K8" s="43">
        <f>I8*J8</f>
        <v/>
      </c>
      <c r="L8" s="43">
        <f>I8+K8</f>
        <v/>
      </c>
      <c r="M8" s="16" t="inlineStr">
        <is>
          <t>Décaissement</t>
        </is>
      </c>
      <c r="N8" s="16" t="inlineStr">
        <is>
          <t>Validé</t>
        </is>
      </c>
      <c r="O8" s="16">
        <f>TEXT(A8,"mmmm")</f>
        <v/>
      </c>
      <c r="P8" s="16">
        <f>IF(OR(I8&lt;0,J8&lt;0),"À vérifier","OK")</f>
        <v/>
      </c>
      <c r="R8" s="17" t="n">
        <v>607000</v>
      </c>
      <c r="S8" s="17" t="inlineStr">
        <is>
          <t>Achats de marchandises</t>
        </is>
      </c>
      <c r="T8" s="18">
        <f>IFERROR(VLOOKUP(G8,$R$3:$S$12,2,FALSE),"Compte non référencé")</f>
        <v/>
      </c>
    </row>
    <row r="9">
      <c r="A9" s="39" t="n">
        <v>46100</v>
      </c>
      <c r="B9" s="5" t="inlineStr">
        <is>
          <t>FAC-2026-007</t>
        </is>
      </c>
      <c r="C9" s="6" t="inlineStr">
        <is>
          <t>Formation professionnelle</t>
        </is>
      </c>
      <c r="D9" s="5" t="inlineStr">
        <is>
          <t>Chloé Robert</t>
        </is>
      </c>
      <c r="E9" s="6" t="inlineStr">
        <is>
          <t>Lille</t>
        </is>
      </c>
      <c r="F9" s="6" t="inlineStr">
        <is>
          <t>Chiffre d’affaires</t>
        </is>
      </c>
      <c r="G9" s="7" t="n">
        <v>706000</v>
      </c>
      <c r="H9" s="5" t="inlineStr">
        <is>
          <t>Compte de résultat</t>
        </is>
      </c>
      <c r="I9" s="40" t="n">
        <v>2750</v>
      </c>
      <c r="J9" s="41" t="n">
        <v>0.2</v>
      </c>
      <c r="K9" s="42">
        <f>I9*J9</f>
        <v/>
      </c>
      <c r="L9" s="42">
        <f>I9+K9</f>
        <v/>
      </c>
      <c r="M9" s="11" t="inlineStr">
        <is>
          <t>Encaissement</t>
        </is>
      </c>
      <c r="N9" s="11" t="inlineStr">
        <is>
          <t>Validé</t>
        </is>
      </c>
      <c r="O9" s="11">
        <f>TEXT(A9,"mmmm")</f>
        <v/>
      </c>
      <c r="P9" s="11">
        <f>IF(OR(I9&lt;0,J9&lt;0),"À vérifier","OK")</f>
        <v/>
      </c>
      <c r="R9" s="12" t="n">
        <v>613000</v>
      </c>
      <c r="S9" s="12" t="inlineStr">
        <is>
          <t>Locations</t>
        </is>
      </c>
      <c r="T9" s="13">
        <f>IFERROR(VLOOKUP(G9,$R$3:$S$12,2,FALSE),"Compte non référencé")</f>
        <v/>
      </c>
    </row>
    <row r="10">
      <c r="A10" s="39" t="n">
        <v>46119</v>
      </c>
      <c r="B10" s="14" t="inlineStr">
        <is>
          <t>IMM-2026-008</t>
        </is>
      </c>
      <c r="C10" s="6" t="inlineStr">
        <is>
          <t>Achat ordinateur portable</t>
        </is>
      </c>
      <c r="D10" s="14" t="inlineStr">
        <is>
          <t>InfoMat Nantes</t>
        </is>
      </c>
      <c r="E10" s="6" t="inlineStr">
        <is>
          <t>Nantes</t>
        </is>
      </c>
      <c r="F10" s="6" t="inlineStr">
        <is>
          <t>Immobilisations</t>
        </is>
      </c>
      <c r="G10" s="7" t="n">
        <v>218000</v>
      </c>
      <c r="H10" s="14" t="inlineStr">
        <is>
          <t>Bilan</t>
        </is>
      </c>
      <c r="I10" s="40" t="n">
        <v>1800</v>
      </c>
      <c r="J10" s="41" t="n">
        <v>0.2</v>
      </c>
      <c r="K10" s="43">
        <f>I10*J10</f>
        <v/>
      </c>
      <c r="L10" s="43">
        <f>I10+K10</f>
        <v/>
      </c>
      <c r="M10" s="16" t="inlineStr">
        <is>
          <t>Décaissement</t>
        </is>
      </c>
      <c r="N10" s="16" t="inlineStr">
        <is>
          <t>Validé</t>
        </is>
      </c>
      <c r="O10" s="16">
        <f>TEXT(A10,"mmmm")</f>
        <v/>
      </c>
      <c r="P10" s="16">
        <f>IF(OR(I10&lt;0,J10&lt;0),"À vérifier","OK")</f>
        <v/>
      </c>
      <c r="R10" s="17" t="n">
        <v>615000</v>
      </c>
      <c r="S10" s="17" t="inlineStr">
        <is>
          <t>Prestations externes</t>
        </is>
      </c>
      <c r="T10" s="18">
        <f>IFERROR(VLOOKUP(G10,$R$3:$S$12,2,FALSE),"Compte non référencé")</f>
        <v/>
      </c>
    </row>
    <row r="11">
      <c r="A11" s="39" t="n">
        <v>46134</v>
      </c>
      <c r="B11" s="5" t="inlineStr">
        <is>
          <t>ACH-2026-009</t>
        </is>
      </c>
      <c r="C11" s="6" t="inlineStr">
        <is>
          <t>Sous-traitance développement</t>
        </is>
      </c>
      <c r="D11" s="5" t="inlineStr">
        <is>
          <t>Thomas Leroy</t>
        </is>
      </c>
      <c r="E11" s="6" t="inlineStr">
        <is>
          <t>Strasbourg</t>
        </is>
      </c>
      <c r="F11" s="6" t="inlineStr">
        <is>
          <t>Prestations externes</t>
        </is>
      </c>
      <c r="G11" s="7" t="n">
        <v>615000</v>
      </c>
      <c r="H11" s="5" t="inlineStr">
        <is>
          <t>Compte de résultat</t>
        </is>
      </c>
      <c r="I11" s="40" t="n">
        <v>1600</v>
      </c>
      <c r="J11" s="41" t="n">
        <v>0.2</v>
      </c>
      <c r="K11" s="42">
        <f>I11*J11</f>
        <v/>
      </c>
      <c r="L11" s="42">
        <f>I11+K11</f>
        <v/>
      </c>
      <c r="M11" s="11" t="inlineStr">
        <is>
          <t>Décaissement</t>
        </is>
      </c>
      <c r="N11" s="11" t="inlineStr">
        <is>
          <t>Validé</t>
        </is>
      </c>
      <c r="O11" s="11">
        <f>TEXT(A11,"mmmm")</f>
        <v/>
      </c>
      <c r="P11" s="11">
        <f>IF(OR(I11&lt;0,J11&lt;0),"À vérifier","OK")</f>
        <v/>
      </c>
      <c r="R11" s="12" t="n">
        <v>641000</v>
      </c>
      <c r="S11" s="12" t="inlineStr">
        <is>
          <t>Rémunérations du personnel</t>
        </is>
      </c>
      <c r="T11" s="13">
        <f>IFERROR(VLOOKUP(G11,$R$3:$S$12,2,FALSE),"Compte non référencé")</f>
        <v/>
      </c>
    </row>
    <row r="12">
      <c r="A12" s="39" t="n">
        <v>46157</v>
      </c>
      <c r="B12" s="14" t="inlineStr">
        <is>
          <t>FAC-2026-010</t>
        </is>
      </c>
      <c r="C12" s="6" t="inlineStr">
        <is>
          <t>Prestation de maintenance</t>
        </is>
      </c>
      <c r="D12" s="14" t="inlineStr">
        <is>
          <t>Léa Fontaine</t>
        </is>
      </c>
      <c r="E12" s="6" t="inlineStr">
        <is>
          <t>Nice</t>
        </is>
      </c>
      <c r="F12" s="6" t="inlineStr">
        <is>
          <t>Chiffre d’affaires</t>
        </is>
      </c>
      <c r="G12" s="7" t="n">
        <v>706000</v>
      </c>
      <c r="H12" s="14" t="inlineStr">
        <is>
          <t>Compte de résultat</t>
        </is>
      </c>
      <c r="I12" s="40" t="n">
        <v>3900</v>
      </c>
      <c r="J12" s="41" t="n">
        <v>0.2</v>
      </c>
      <c r="K12" s="43">
        <f>I12*J12</f>
        <v/>
      </c>
      <c r="L12" s="43">
        <f>I12+K12</f>
        <v/>
      </c>
      <c r="M12" s="16" t="inlineStr">
        <is>
          <t>Encaissement</t>
        </is>
      </c>
      <c r="N12" s="16" t="inlineStr">
        <is>
          <t>Validé</t>
        </is>
      </c>
      <c r="O12" s="16">
        <f>TEXT(A12,"mmmm")</f>
        <v/>
      </c>
      <c r="P12" s="16">
        <f>IF(OR(I12&lt;0,J12&lt;0),"À vérifier","OK")</f>
        <v/>
      </c>
      <c r="R12" s="17" t="n">
        <v>706000</v>
      </c>
      <c r="S12" s="17" t="inlineStr">
        <is>
          <t>Prestations de services</t>
        </is>
      </c>
      <c r="T12" s="18">
        <f>IFERROR(VLOOKUP(G12,$R$3:$S$12,2,FALSE),"Compte non référencé")</f>
        <v/>
      </c>
    </row>
    <row r="13">
      <c r="A13" s="19" t="n"/>
      <c r="B13" s="19" t="n"/>
      <c r="C13" s="19" t="n"/>
      <c r="D13" s="19" t="n"/>
      <c r="E13" s="19" t="n"/>
      <c r="F13" s="19" t="n"/>
      <c r="G13" s="19" t="n"/>
      <c r="H13" s="20" t="inlineStr">
        <is>
          <t>TOTAL</t>
        </is>
      </c>
      <c r="I13" s="44">
        <f>SUM(I3:I12)</f>
        <v/>
      </c>
      <c r="J13" s="19" t="n"/>
      <c r="K13" s="44">
        <f>SUM(K3:K12)</f>
        <v/>
      </c>
      <c r="L13" s="44">
        <f>SUM(L3:L12)</f>
        <v/>
      </c>
      <c r="M13" s="19" t="n"/>
      <c r="N13" s="19" t="n"/>
      <c r="O13" s="19" t="n"/>
      <c r="P13" s="19" t="n"/>
    </row>
  </sheetData>
  <autoFilter ref="A2:P12"/>
  <mergeCells count="1">
    <mergeCell ref="A1:P1"/>
  </mergeCells>
  <conditionalFormatting sqref="P3:P12">
    <cfRule type="expression" priority="1" dxfId="0" stopIfTrue="1">
      <formula>P3="À vérifier"</formula>
    </cfRule>
  </conditionalFormatting>
  <dataValidations count="3">
    <dataValidation sqref="F3:F50" showErrorMessage="1" showInputMessage="1" allowBlank="1" type="list">
      <formula1>"Chiffre d’affaires,Achats de marchandises,Prestations externes,Salaires et charges,Loyer,Banque,Immobilisations,Créances clients,Dettes fournisseurs,Capital"</formula1>
    </dataValidation>
    <dataValidation sqref="J3:J50" showErrorMessage="1" showInputMessage="1" allowBlank="1" type="list">
      <formula1>"0,0.021,0.055,0.1,0.2"</formula1>
    </dataValidation>
    <dataValidation sqref="N3:N50" showErrorMessage="1" showInputMessage="1" allowBlank="1" type="list">
      <formula1>"Validé,En attente,À rapprocher"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" customWidth="1" min="3" max="3"/>
    <col width="14" customWidth="1" min="4" max="4"/>
    <col width="14" customWidth="1" min="5" max="5"/>
    <col width="14" customWidth="1" min="6" max="6"/>
    <col width="3" customWidth="1" min="7" max="7"/>
    <col width="22" customWidth="1" min="8" max="8"/>
    <col width="14" customWidth="1" min="9" max="9"/>
  </cols>
  <sheetData>
    <row r="1" ht="26" customHeight="1">
      <c r="A1" s="1" t="inlineStr">
        <is>
          <t>États financiers simplifiés — Exercice 2026</t>
        </is>
      </c>
    </row>
    <row r="2">
      <c r="E2" s="3" t="inlineStr">
        <is>
          <t>Mois</t>
        </is>
      </c>
      <c r="F2" s="3" t="inlineStr">
        <is>
          <t>CA HT (€)</t>
        </is>
      </c>
      <c r="H2" s="3" t="inlineStr">
        <is>
          <t>Catégorie de charge</t>
        </is>
      </c>
      <c r="I2" s="3" t="inlineStr">
        <is>
          <t>Montant (€)</t>
        </is>
      </c>
    </row>
    <row r="3">
      <c r="A3" s="22" t="inlineStr">
        <is>
          <t>Compte de résultat (en € HT)</t>
        </is>
      </c>
      <c r="E3" s="12" t="inlineStr">
        <is>
          <t>Janvier</t>
        </is>
      </c>
      <c r="F3" s="45">
        <f>SUMIFS('Journal comptable'!$I:$I,'Journal comptable'!$O:$O,"janvier",'Journal comptable'!$F:$F,"Chiffre d’affaires")</f>
        <v/>
      </c>
      <c r="H3" s="12" t="inlineStr">
        <is>
          <t>Achats</t>
        </is>
      </c>
      <c r="I3" s="45">
        <f>B5</f>
        <v/>
      </c>
    </row>
    <row r="4">
      <c r="A4" s="25" t="inlineStr">
        <is>
          <t>Chiffre d’affaires</t>
        </is>
      </c>
      <c r="B4" s="46">
        <f>SUMIF('Journal comptable'!$F:$F,"Chiffre d’affaires",'Journal comptable'!$I:$I)</f>
        <v/>
      </c>
      <c r="E4" s="17" t="inlineStr">
        <is>
          <t>Février</t>
        </is>
      </c>
      <c r="F4" s="47">
        <f>SUMIFS('Journal comptable'!$I:$I,'Journal comptable'!$O:$O,"février",'Journal comptable'!$F:$F,"Chiffre d’affaires")</f>
        <v/>
      </c>
      <c r="H4" s="17" t="inlineStr">
        <is>
          <t>Prestations externes</t>
        </is>
      </c>
      <c r="I4" s="47">
        <f>B6</f>
        <v/>
      </c>
    </row>
    <row r="5">
      <c r="A5" s="14" t="inlineStr">
        <is>
          <t>Achats de marchandises</t>
        </is>
      </c>
      <c r="B5" s="43">
        <f>SUMIF('Journal comptable'!$F:$F,"Achats de marchandises",'Journal comptable'!$I:$I)</f>
        <v/>
      </c>
      <c r="E5" s="12" t="inlineStr">
        <is>
          <t>Mars</t>
        </is>
      </c>
      <c r="F5" s="45">
        <f>SUMIFS('Journal comptable'!$I:$I,'Journal comptable'!$O:$O,"mars",'Journal comptable'!$F:$F,"Chiffre d’affaires")</f>
        <v/>
      </c>
      <c r="H5" s="12" t="inlineStr">
        <is>
          <t>Salaires et charges</t>
        </is>
      </c>
      <c r="I5" s="45">
        <f>B7</f>
        <v/>
      </c>
    </row>
    <row r="6">
      <c r="A6" s="5" t="inlineStr">
        <is>
          <t>Prestations externes</t>
        </is>
      </c>
      <c r="B6" s="42">
        <f>SUMIF('Journal comptable'!$F:$F,"Prestations externes",'Journal comptable'!$I:$I)+SUMIF('Journal comptable'!$F:$F,"Loyer",'Journal comptable'!$I:$I)</f>
        <v/>
      </c>
      <c r="E6" s="17" t="inlineStr">
        <is>
          <t>Avril</t>
        </is>
      </c>
      <c r="F6" s="47">
        <f>SUMIFS('Journal comptable'!$I:$I,'Journal comptable'!$O:$O,"avril",'Journal comptable'!$F:$F,"Chiffre d’affaires")</f>
        <v/>
      </c>
      <c r="H6" s="17" t="inlineStr">
        <is>
          <t>Immobilisations</t>
        </is>
      </c>
      <c r="I6" s="47">
        <f>B8</f>
        <v/>
      </c>
    </row>
    <row r="7">
      <c r="A7" s="14" t="inlineStr">
        <is>
          <t>Salaires et charges</t>
        </is>
      </c>
      <c r="B7" s="43">
        <f>SUMIF('Journal comptable'!$F:$F,"Salaires et charges",'Journal comptable'!$I:$I)</f>
        <v/>
      </c>
      <c r="E7" s="12" t="inlineStr">
        <is>
          <t>Mai</t>
        </is>
      </c>
      <c r="F7" s="45">
        <f>SUMIFS('Journal comptable'!$I:$I,'Journal comptable'!$O:$O,"mai",'Journal comptable'!$F:$F,"Chiffre d’affaires")</f>
        <v/>
      </c>
    </row>
    <row r="8">
      <c r="A8" s="5" t="inlineStr">
        <is>
          <t>Dotations / immobilisations</t>
        </is>
      </c>
      <c r="B8" s="42">
        <f>SUMIF('Journal comptable'!$F:$F,"Immobilisations",'Journal comptable'!$I:$I)</f>
        <v/>
      </c>
      <c r="E8" s="17" t="inlineStr">
        <is>
          <t>Juin</t>
        </is>
      </c>
      <c r="F8" s="47">
        <f>SUMIFS('Journal comptable'!$I:$I,'Journal comptable'!$O:$O,"juin",'Journal comptable'!$F:$F,"Chiffre d’affaires")</f>
        <v/>
      </c>
    </row>
    <row r="9">
      <c r="A9" s="28" t="inlineStr">
        <is>
          <t>Total charges</t>
        </is>
      </c>
      <c r="B9" s="44">
        <f>SUM(B5:B8)</f>
        <v/>
      </c>
      <c r="E9" s="12" t="inlineStr">
        <is>
          <t>Juillet</t>
        </is>
      </c>
      <c r="F9" s="45">
        <f>SUMIFS('Journal comptable'!$I:$I,'Journal comptable'!$O:$O,"juillet",'Journal comptable'!$F:$F,"Chiffre d’affaires")</f>
        <v/>
      </c>
    </row>
    <row r="10">
      <c r="A10" s="28" t="inlineStr">
        <is>
          <t>Résultat d’exploitation</t>
        </is>
      </c>
      <c r="B10" s="44">
        <f>B4-B9</f>
        <v/>
      </c>
      <c r="E10" s="17" t="inlineStr">
        <is>
          <t>Août</t>
        </is>
      </c>
      <c r="F10" s="47">
        <f>SUMIFS('Journal comptable'!$I:$I,'Journal comptable'!$O:$O,"août",'Journal comptable'!$F:$F,"Chiffre d’affaires")</f>
        <v/>
      </c>
    </row>
    <row r="11">
      <c r="A11" s="29" t="inlineStr">
        <is>
          <t>Marge nette</t>
        </is>
      </c>
      <c r="B11" s="48">
        <f>IFERROR(B10/B4,0)</f>
        <v/>
      </c>
      <c r="E11" s="12" t="inlineStr">
        <is>
          <t>Septembre</t>
        </is>
      </c>
      <c r="F11" s="45">
        <f>SUMIFS('Journal comptable'!$I:$I,'Journal comptable'!$O:$O,"septembre",'Journal comptable'!$F:$F,"Chiffre d’affaires")</f>
        <v/>
      </c>
    </row>
    <row r="12">
      <c r="E12" s="17" t="inlineStr">
        <is>
          <t>Octobre</t>
        </is>
      </c>
      <c r="F12" s="47">
        <f>SUMIFS('Journal comptable'!$I:$I,'Journal comptable'!$O:$O,"octobre",'Journal comptable'!$F:$F,"Chiffre d’affaires")</f>
        <v/>
      </c>
    </row>
    <row r="13">
      <c r="A13" s="22" t="inlineStr">
        <is>
          <t>Bilan simplifié — Actif (en €)</t>
        </is>
      </c>
      <c r="E13" s="12" t="inlineStr">
        <is>
          <t>Novembre</t>
        </is>
      </c>
      <c r="F13" s="45">
        <f>SUMIFS('Journal comptable'!$I:$I,'Journal comptable'!$O:$O,"novembre",'Journal comptable'!$F:$F,"Chiffre d’affaires")</f>
        <v/>
      </c>
    </row>
    <row r="14">
      <c r="A14" s="5" t="inlineStr">
        <is>
          <t>Immobilisations</t>
        </is>
      </c>
      <c r="B14" s="42">
        <f>SUMIF('Journal comptable'!$F:$F,"Immobilisations",'Journal comptable'!$I:$I)</f>
        <v/>
      </c>
      <c r="E14" s="17" t="inlineStr">
        <is>
          <t>Décembre</t>
        </is>
      </c>
      <c r="F14" s="47">
        <f>SUMIFS('Journal comptable'!$I:$I,'Journal comptable'!$O:$O,"décembre",'Journal comptable'!$F:$F,"Chiffre d’affaires")</f>
        <v/>
      </c>
    </row>
    <row r="15">
      <c r="A15" s="14" t="inlineStr">
        <is>
          <t>Créances clients</t>
        </is>
      </c>
      <c r="B15" s="43">
        <f>SUMIF('Journal comptable'!$F:$F,"Créances clients",'Journal comptable'!$I:$I)</f>
        <v/>
      </c>
    </row>
    <row r="16">
      <c r="A16" s="5" t="inlineStr">
        <is>
          <t>Trésorerie estimée</t>
        </is>
      </c>
      <c r="B16" s="42">
        <f>B24-B14-B15</f>
        <v/>
      </c>
    </row>
    <row r="17">
      <c r="A17" s="28" t="inlineStr">
        <is>
          <t>Total actif</t>
        </is>
      </c>
      <c r="B17" s="44">
        <f>SUM(B14:B16)</f>
        <v/>
      </c>
    </row>
    <row r="19">
      <c r="A19" s="22" t="inlineStr">
        <is>
          <t>Bilan simplifié — Passif (en €)</t>
        </is>
      </c>
    </row>
    <row r="20">
      <c r="A20" s="31" t="inlineStr">
        <is>
          <t>Capital (saisie)</t>
        </is>
      </c>
      <c r="B20" s="49" t="n">
        <v>10000</v>
      </c>
    </row>
    <row r="21">
      <c r="A21" s="14" t="inlineStr">
        <is>
          <t>Résultat de l’exercice</t>
        </is>
      </c>
      <c r="B21" s="43">
        <f>B10</f>
        <v/>
      </c>
    </row>
    <row r="22">
      <c r="A22" s="5" t="inlineStr">
        <is>
          <t>Dettes fournisseurs</t>
        </is>
      </c>
      <c r="B22" s="42">
        <f>SUMIF('Journal comptable'!$F:$F,"Dettes fournisseurs",'Journal comptable'!$I:$I)</f>
        <v/>
      </c>
    </row>
    <row r="23">
      <c r="A23" s="14" t="inlineStr">
        <is>
          <t>Dettes fiscales et sociales</t>
        </is>
      </c>
      <c r="B23" s="43">
        <f>SUMIF('Journal comptable'!$F:$F,"Chiffre d’affaires",'Journal comptable'!$K:$K)-SUMIF('Journal comptable'!$H:$H,"Compte de résultat",'Journal comptable'!$K:$K)+SUMIF('Journal comptable'!$H:$H,"Compte de résultat",'Journal comptable'!$K:$K)-SUMIF('Journal comptable'!$F:$F,"Chiffre d’affaires",'Journal comptable'!$K:$K)+MAX(0,B31)</f>
        <v/>
      </c>
    </row>
    <row r="24">
      <c r="A24" s="28" t="inlineStr">
        <is>
          <t>Total passif</t>
        </is>
      </c>
      <c r="B24" s="44">
        <f>SUM(B20:B23)</f>
        <v/>
      </c>
    </row>
    <row r="25">
      <c r="A25" s="29" t="inlineStr">
        <is>
          <t>Contrôle d’équilibre</t>
        </is>
      </c>
      <c r="B25" s="33">
        <f>IF(ABS(B17-B24)&lt;0.01,"Bilan équilibré","Écart à contrôler")</f>
        <v/>
      </c>
    </row>
    <row r="27">
      <c r="A27" s="22" t="inlineStr">
        <is>
          <t>TVA et indicateurs clés</t>
        </is>
      </c>
    </row>
    <row r="28">
      <c r="A28" s="5" t="inlineStr">
        <is>
          <t>TVA collectée</t>
        </is>
      </c>
      <c r="B28" s="42">
        <f>SUMIF('Journal comptable'!$F:$F,"Chiffre d’affaires",'Journal comptable'!$K:$K)</f>
        <v/>
      </c>
    </row>
    <row r="29">
      <c r="A29" s="14" t="inlineStr">
        <is>
          <t>TVA déductible</t>
        </is>
      </c>
      <c r="B29" s="43">
        <f>SUM('Journal comptable'!$K$3:$K$12)-SUMIF('Journal comptable'!$F:$F,"Chiffre d’affaires",'Journal comptable'!$K:$K)</f>
        <v/>
      </c>
    </row>
    <row r="30">
      <c r="A30" s="25" t="inlineStr">
        <is>
          <t>TVA à décaisser</t>
        </is>
      </c>
      <c r="B30" s="46">
        <f>MAX(0,B28-B29)</f>
        <v/>
      </c>
    </row>
    <row r="31">
      <c r="A31" s="14" t="inlineStr">
        <is>
          <t>Nombre d’opérations validées</t>
        </is>
      </c>
      <c r="B31" s="34">
        <f>COUNTIF('Journal comptable'!$N:$N,"Validé")</f>
        <v/>
      </c>
    </row>
    <row r="32">
      <c r="A32" s="5" t="inlineStr">
        <is>
          <t>Panier moyen HT</t>
        </is>
      </c>
      <c r="B32" s="42">
        <f>IFERROR(AVERAGE('Journal comptable'!$I$3:$I$12),0)</f>
        <v/>
      </c>
    </row>
    <row r="33">
      <c r="A33" s="29" t="inlineStr">
        <is>
          <t>Taux de charges</t>
        </is>
      </c>
      <c r="B33" s="48">
        <f>IFERROR(B9/B4,0)</f>
        <v/>
      </c>
    </row>
    <row r="35">
      <c r="A35" s="35" t="inlineStr">
        <is>
          <t>Période</t>
        </is>
      </c>
      <c r="B35" s="36" t="inlineStr">
        <is>
          <t>Exercice 2026</t>
        </is>
      </c>
    </row>
  </sheetData>
  <mergeCells count="5">
    <mergeCell ref="A1:F1"/>
    <mergeCell ref="A3:B3"/>
    <mergeCell ref="A13:B13"/>
    <mergeCell ref="A19:B19"/>
    <mergeCell ref="A27:B27"/>
  </mergeCells>
  <conditionalFormatting sqref="B10">
    <cfRule type="expression" priority="1" dxfId="1" stopIfTrue="1">
      <formula>B10&gt;=0</formula>
    </cfRule>
    <cfRule type="expression" priority="2" dxfId="2" stopIfTrue="1">
      <formula>B10&lt;0</formula>
    </cfRule>
  </conditionalFormatting>
  <conditionalFormatting sqref="B25">
    <cfRule type="expression" priority="3" dxfId="2" stopIfTrue="1">
      <formula>B25="Écart à contrôler"</formula>
    </cfRule>
    <cfRule type="expression" priority="4" dxfId="1" stopIfTrue="1">
      <formula>B25="Bilan équilibré"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</cols>
  <sheetData>
    <row r="1" ht="26" customHeight="1">
      <c r="A1" s="37" t="inlineStr">
        <is>
          <t>Mode d'emploi — États financiers Excel</t>
        </is>
      </c>
    </row>
    <row r="3">
      <c r="A3" s="22" t="inlineStr">
        <is>
          <t>Finalité du classeur</t>
        </is>
      </c>
    </row>
    <row r="4" ht="58" customHeight="1">
      <c r="A4" s="38" t="inlineStr">
        <is>
          <t>Ce classeur permet de saisir les opérations comptables d'une SARL/SAS française et de produire une synthèse simplifiée : compte de résultat, bilan synthétique, TVA et indicateurs clés. Il s'agit d'un outil de pilotage interne : il ne remplace pas la liasse fiscale établie par votre expert-comptable.</t>
        </is>
      </c>
      <c r="B4" s="50" t="n"/>
    </row>
    <row r="6">
      <c r="A6" s="22" t="inlineStr">
        <is>
          <t>Saisie des opérations</t>
        </is>
      </c>
    </row>
    <row r="7" ht="58" customHeight="1">
      <c r="A7" s="38" t="inlineStr">
        <is>
          <t>Renseignez chaque opération dans la feuille « Journal comptable », dans les cellules jaune pâle : date (JJ/MM/AAAA), référence, libellé, client/fournisseur, ville, catégorie (liste déroulante), compte comptable, montant HT et taux de TVA. Les colonnes TVA (€), Montant TTC (€), Mois et Contrôle se calculent automatiquement.</t>
        </is>
      </c>
      <c r="B7" s="50" t="n"/>
    </row>
    <row r="9">
      <c r="A9" s="22" t="inlineStr">
        <is>
          <t>Taux de TVA en France</t>
        </is>
      </c>
    </row>
    <row r="10" ht="58" customHeight="1">
      <c r="A10" s="38" t="inlineStr">
        <is>
          <t>Taux normal : 20 %. Taux intermédiaire : 10 %. Taux réduit : 5,5 %. Taux particulier : 2,1 %. Sélectionnez le taux applicable via la liste déroulante de la colonne « Taux TVA ».</t>
        </is>
      </c>
      <c r="B10" s="50" t="n"/>
    </row>
    <row r="12">
      <c r="A12" s="22" t="inlineStr">
        <is>
          <t>États financiers</t>
        </is>
      </c>
    </row>
    <row r="13" ht="58" customHeight="1">
      <c r="A13" s="38" t="inlineStr">
        <is>
          <t>La feuille « États financiers » se met à jour automatiquement grâce aux formules SUMIF/COUNTIF : compte de résultat, bilan simplifié avec contrôle d'équilibre, TVA collectée/déductible/à décaisser et indicateurs. Seule la cellule « Capital (saisie) » est à renseigner manuellement.</t>
        </is>
      </c>
      <c r="B13" s="50" t="n"/>
    </row>
    <row r="15">
      <c r="A15" s="22" t="inlineStr">
        <is>
          <t>Expert-comptable</t>
        </is>
      </c>
    </row>
    <row r="16" ht="58" customHeight="1">
      <c r="A16" s="38" t="inlineStr">
        <is>
          <t>Faites systématiquement vérifier les comptes comptables utilisés, le traitement de la TVA et les états de synthèse par votre expert-comptable avant toute déclaration officielle.</t>
        </is>
      </c>
      <c r="B16" s="50" t="n"/>
    </row>
    <row r="18">
      <c r="A18" s="22" t="inlineStr">
        <is>
          <t>Rappels réglementaires</t>
        </is>
      </c>
    </row>
    <row r="19" ht="58" customHeight="1">
      <c r="A19" s="38" t="inlineStr">
        <is>
          <t>DGFiP : déclarations fiscales sur impots.gouv.fr (espace professionnel). URSSAF : cotisations sociales. Facturation électronique : formats Factur-X et plateforme Chorus Pro (obligations progressives 2026-2027). RGPD/CNIL : les données personnelles des clients et salariés doivent être protégées.</t>
        </is>
      </c>
      <c r="B19" s="50" t="n"/>
    </row>
    <row r="21">
      <c r="A21" s="22" t="inlineStr">
        <is>
          <t>Légende des couleurs</t>
        </is>
      </c>
    </row>
    <row r="22" ht="58" customHeight="1">
      <c r="A22" s="38" t="inlineStr">
        <is>
          <t>Jaune pâle = cellule de saisie. Rose = en-tête de colonne ou de bloc. Turquoise = total ou KPI. Vert = indicateur favorable. Rouge = alerte ou écart à contrôler.</t>
        </is>
      </c>
      <c r="B22" s="50" t="n"/>
    </row>
  </sheetData>
  <mergeCells count="15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2026-07-30T13:06:45Z</dcterms:created>
  <dcterms:modified xmlns:dcterms="http://purl.org/dc/terms/" xmlns:xsi="http://www.w3.org/2001/XMLSchema-instance" xsi:type="dcterms:W3CDTF">2026-07-30T13:06:45Z</dcterms:modified>
</cp:coreProperties>
</file>